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989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<sst xmlns="http://schemas.openxmlformats.org/spreadsheetml/2006/main" count="48" uniqueCount="31">
  <si>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DATE</t>
  </si>
  <si>
    <t>BOAT RACE SPREAD SHEET, John Eade</t>
  </si>
  <si>
    <t>RACE NUMBER</t>
  </si>
  <si>
    <t>Oxford wins</t>
  </si>
  <si>
    <t>Cambridge wins</t>
  </si>
  <si>
    <t>Oxf secs</t>
  </si>
  <si>
    <t>Cam secs</t>
  </si>
  <si>
    <t>Oxf total secs</t>
  </si>
  <si>
    <t>Cam total secs</t>
  </si>
  <si>
    <t>Cam lead secs</t>
  </si>
  <si>
    <t>Cam lead lengths</t>
  </si>
  <si>
    <t>Miles</t>
  </si>
  <si>
    <t>TOTALS</t>
  </si>
  <si>
    <t>FOUL; not counted</t>
  </si>
  <si>
    <t>SINKING; not counted</t>
  </si>
  <si>
    <t>DEAD HEAT</t>
  </si>
  <si>
    <t>-ve=Oxf</t>
  </si>
  <si>
    <t>Total Cambridge time =</t>
  </si>
  <si>
    <t>Total Oxford time =</t>
  </si>
  <si>
    <t>hours</t>
  </si>
  <si>
    <t>minutes</t>
  </si>
  <si>
    <t>seconds</t>
  </si>
  <si>
    <t>CAMBRIDGE EASILY=30 secs</t>
  </si>
  <si>
    <t>OXFORD EASILY=30 secs</t>
  </si>
  <si>
    <t>Comment</t>
  </si>
  <si>
    <t>Cam lead this race</t>
  </si>
  <si>
    <t>Cam lead per race:</t>
  </si>
  <si>
    <t>Cam lead in secs this race</t>
  </si>
  <si>
    <t>(-ve=Oxford)</t>
  </si>
  <si>
    <t>No time taken.Consolidated time estimated</t>
  </si>
  <si>
    <t>IN 2015 Cambridge lead by  4 minutes and 49 seconds = about 97 lengths or just under 2 seconds per race, 0.64 of a length.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</si>
</sst>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color indexed="8"/>
      <name val="Tahoma"/>
      <family val="0"/>
    </font>
    <font>
      <sz val="10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17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1"/>
  <sheetViews>
    <sheetView tabSelected="1" zoomScalePageLayoutView="0" workbookViewId="0" topLeftCell="A148">
      <selection activeCell="K170" sqref="K170"/>
    </sheetView>
  </sheetViews>
  <sheetFormatPr defaultColWidth="9.140625" defaultRowHeight="12.75"/>
  <cols>
    <col min="2" max="2" width="13.140625" style="0" customWidth="1"/>
    <col min="3" max="3" width="10.421875" style="0" customWidth="1"/>
    <col min="4" max="4" width="14.8515625" style="0" customWidth="1"/>
    <col min="5" max="5" width="9.421875" style="0" customWidth="1"/>
    <col min="6" max="6" width="8.57421875" style="0" customWidth="1"/>
    <col min="7" max="7" width="12.421875" style="0" customWidth="1"/>
    <col min="8" max="8" width="13.140625" style="0" customWidth="1"/>
    <col min="9" max="9" width="13.28125" style="0" customWidth="1"/>
    <col min="10" max="10" width="16.8515625" style="0" customWidth="1"/>
    <col min="12" max="12" width="30.00390625" style="0" customWidth="1"/>
  </cols>
  <sheetData>
    <row r="1" spans="1:13" ht="12.75">
      <c r="A1" t="s">
        <v>1</v>
      </c>
      <c r="I1" s="4" t="s">
        <v>16</v>
      </c>
      <c r="J1" s="4" t="s">
        <v>16</v>
      </c>
      <c r="M1" s="4" t="s">
        <v>16</v>
      </c>
    </row>
    <row r="2" spans="1:13" ht="12.75">
      <c r="A2" t="s">
        <v>0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24</v>
      </c>
      <c r="M2" t="s">
        <v>25</v>
      </c>
    </row>
    <row r="3" spans="1:14" ht="12.75">
      <c r="A3" s="2">
        <v>1829</v>
      </c>
      <c r="B3" s="2">
        <v>1</v>
      </c>
      <c r="C3" s="2">
        <v>1</v>
      </c>
      <c r="D3" s="2">
        <v>0</v>
      </c>
      <c r="E3" s="2">
        <f>14*60</f>
        <v>840</v>
      </c>
      <c r="F3" s="2">
        <f>E3+30</f>
        <v>870</v>
      </c>
      <c r="G3" s="2">
        <f>E3</f>
        <v>840</v>
      </c>
      <c r="H3" s="2">
        <f>F3</f>
        <v>870</v>
      </c>
      <c r="I3" s="2">
        <f aca="true" t="shared" si="0" ref="I3:I34">G3-H3</f>
        <v>-30</v>
      </c>
      <c r="J3" s="3">
        <f aca="true" t="shared" si="1" ref="J3:J34">I3/3</f>
        <v>-10</v>
      </c>
      <c r="K3" s="2">
        <v>2.25</v>
      </c>
      <c r="L3" s="2" t="s">
        <v>23</v>
      </c>
      <c r="M3" s="2">
        <f>E3-F3</f>
        <v>-30</v>
      </c>
      <c r="N3" s="2">
        <v>1829</v>
      </c>
    </row>
    <row r="4" spans="1:14" ht="12.75">
      <c r="A4">
        <v>1836</v>
      </c>
      <c r="B4">
        <f aca="true" t="shared" si="2" ref="B4:B35">B3+1</f>
        <v>2</v>
      </c>
      <c r="C4">
        <v>0</v>
      </c>
      <c r="D4">
        <v>1</v>
      </c>
      <c r="E4">
        <f>F4+60</f>
        <v>2160</v>
      </c>
      <c r="F4">
        <f>35*60</f>
        <v>2100</v>
      </c>
      <c r="G4">
        <f>SUM(E$3:E4)</f>
        <v>3000</v>
      </c>
      <c r="H4">
        <f>SUM(F$3:F4)</f>
        <v>2970</v>
      </c>
      <c r="I4">
        <f t="shared" si="0"/>
        <v>30</v>
      </c>
      <c r="J4" s="1">
        <f t="shared" si="1"/>
        <v>10</v>
      </c>
      <c r="K4">
        <v>5.75</v>
      </c>
      <c r="M4" s="2">
        <f aca="true" t="shared" si="3" ref="M4:M67">E4-F4</f>
        <v>60</v>
      </c>
      <c r="N4">
        <v>1836</v>
      </c>
    </row>
    <row r="5" spans="1:14" ht="12.75">
      <c r="A5">
        <v>1839</v>
      </c>
      <c r="B5">
        <f t="shared" si="2"/>
        <v>3</v>
      </c>
      <c r="C5">
        <v>0</v>
      </c>
      <c r="D5">
        <v>1</v>
      </c>
      <c r="E5">
        <f>F5+45</f>
        <v>1905</v>
      </c>
      <c r="F5">
        <f>31*60</f>
        <v>1860</v>
      </c>
      <c r="G5">
        <f>SUM(E$3:E5)</f>
        <v>4905</v>
      </c>
      <c r="H5">
        <f>SUM(F$3:F5)</f>
        <v>4830</v>
      </c>
      <c r="I5">
        <f t="shared" si="0"/>
        <v>75</v>
      </c>
      <c r="J5" s="1">
        <f t="shared" si="1"/>
        <v>25</v>
      </c>
      <c r="K5">
        <v>5.75</v>
      </c>
      <c r="M5" s="2">
        <f t="shared" si="3"/>
        <v>45</v>
      </c>
      <c r="N5">
        <v>1839</v>
      </c>
    </row>
    <row r="6" spans="1:14" ht="12.75">
      <c r="A6">
        <v>1840</v>
      </c>
      <c r="B6">
        <f t="shared" si="2"/>
        <v>4</v>
      </c>
      <c r="C6">
        <v>0</v>
      </c>
      <c r="D6">
        <v>1</v>
      </c>
      <c r="E6">
        <f>F6+0.75*3</f>
        <v>1772.25</v>
      </c>
      <c r="F6">
        <f>29*60+30</f>
        <v>1770</v>
      </c>
      <c r="G6">
        <f>SUM(E$3:E6)</f>
        <v>6677.25</v>
      </c>
      <c r="H6">
        <f>SUM(F$3:F6)</f>
        <v>6600</v>
      </c>
      <c r="I6">
        <f t="shared" si="0"/>
        <v>77.25</v>
      </c>
      <c r="J6" s="1">
        <f t="shared" si="1"/>
        <v>25.75</v>
      </c>
      <c r="K6">
        <v>5.75</v>
      </c>
      <c r="M6" s="2">
        <f t="shared" si="3"/>
        <v>2.25</v>
      </c>
      <c r="N6">
        <v>1840</v>
      </c>
    </row>
    <row r="7" spans="1:14" ht="12.75">
      <c r="A7">
        <v>1841</v>
      </c>
      <c r="B7">
        <f t="shared" si="2"/>
        <v>5</v>
      </c>
      <c r="C7">
        <v>0</v>
      </c>
      <c r="D7">
        <v>1</v>
      </c>
      <c r="E7">
        <f>F7+90</f>
        <v>2040</v>
      </c>
      <c r="F7">
        <f>32*60+30</f>
        <v>1950</v>
      </c>
      <c r="G7">
        <f>SUM(E$3:E7)</f>
        <v>8717.25</v>
      </c>
      <c r="H7">
        <f>SUM(F$3:F7)</f>
        <v>8550</v>
      </c>
      <c r="I7">
        <f t="shared" si="0"/>
        <v>167.25</v>
      </c>
      <c r="J7" s="1">
        <f t="shared" si="1"/>
        <v>55.75</v>
      </c>
      <c r="K7">
        <v>5.75</v>
      </c>
      <c r="M7" s="2">
        <f t="shared" si="3"/>
        <v>90</v>
      </c>
      <c r="N7">
        <v>1841</v>
      </c>
    </row>
    <row r="8" spans="1:14" ht="12.75">
      <c r="A8">
        <v>1842</v>
      </c>
      <c r="B8">
        <f t="shared" si="2"/>
        <v>6</v>
      </c>
      <c r="C8">
        <v>1</v>
      </c>
      <c r="D8">
        <v>0</v>
      </c>
      <c r="E8">
        <f>30*60+10</f>
        <v>1810</v>
      </c>
      <c r="F8">
        <f>E8+13</f>
        <v>1823</v>
      </c>
      <c r="G8">
        <f>SUM(E$3:E8)</f>
        <v>10527.25</v>
      </c>
      <c r="H8">
        <f>SUM(F$3:F8)</f>
        <v>10373</v>
      </c>
      <c r="I8">
        <f t="shared" si="0"/>
        <v>154.25</v>
      </c>
      <c r="J8" s="1">
        <f t="shared" si="1"/>
        <v>51.416666666666664</v>
      </c>
      <c r="K8">
        <v>5.75</v>
      </c>
      <c r="M8" s="2">
        <f t="shared" si="3"/>
        <v>-13</v>
      </c>
      <c r="N8">
        <v>1842</v>
      </c>
    </row>
    <row r="9" spans="1:14" ht="12.75">
      <c r="A9">
        <v>1845</v>
      </c>
      <c r="B9">
        <f t="shared" si="2"/>
        <v>7</v>
      </c>
      <c r="C9">
        <v>0</v>
      </c>
      <c r="D9">
        <v>1</v>
      </c>
      <c r="E9">
        <f>F9+30</f>
        <v>1440</v>
      </c>
      <c r="F9">
        <f>23*60+30</f>
        <v>1410</v>
      </c>
      <c r="G9">
        <f>SUM(E$3:E9)</f>
        <v>11967.25</v>
      </c>
      <c r="H9">
        <f>SUM(F$3:F9)</f>
        <v>11783</v>
      </c>
      <c r="I9">
        <f t="shared" si="0"/>
        <v>184.25</v>
      </c>
      <c r="J9" s="1">
        <f t="shared" si="1"/>
        <v>61.416666666666664</v>
      </c>
      <c r="K9">
        <v>4</v>
      </c>
      <c r="M9" s="2">
        <f t="shared" si="3"/>
        <v>30</v>
      </c>
      <c r="N9">
        <v>1845</v>
      </c>
    </row>
    <row r="10" spans="1:14" ht="12.75">
      <c r="A10">
        <v>1846</v>
      </c>
      <c r="B10">
        <f t="shared" si="2"/>
        <v>8</v>
      </c>
      <c r="C10">
        <v>0</v>
      </c>
      <c r="D10">
        <v>1</v>
      </c>
      <c r="E10">
        <f>F10+9</f>
        <v>1274</v>
      </c>
      <c r="F10">
        <f>21*60+5</f>
        <v>1265</v>
      </c>
      <c r="G10">
        <f>SUM(E$3:E10)</f>
        <v>13241.25</v>
      </c>
      <c r="H10">
        <f>SUM(F$3:F10)</f>
        <v>13048</v>
      </c>
      <c r="I10">
        <f t="shared" si="0"/>
        <v>193.25</v>
      </c>
      <c r="J10" s="1">
        <f t="shared" si="1"/>
        <v>64.41666666666667</v>
      </c>
      <c r="K10">
        <v>4.25</v>
      </c>
      <c r="M10" s="2">
        <f t="shared" si="3"/>
        <v>9</v>
      </c>
      <c r="N10">
        <v>1846</v>
      </c>
    </row>
    <row r="11" spans="1:14" ht="12.75">
      <c r="A11">
        <v>1849</v>
      </c>
      <c r="B11">
        <f t="shared" si="2"/>
        <v>9</v>
      </c>
      <c r="C11">
        <v>0</v>
      </c>
      <c r="D11">
        <v>1</v>
      </c>
      <c r="E11">
        <f>F11+30</f>
        <v>1350</v>
      </c>
      <c r="F11">
        <f>22*60</f>
        <v>1320</v>
      </c>
      <c r="G11">
        <f>SUM(E$3:E11)</f>
        <v>14591.25</v>
      </c>
      <c r="H11">
        <f>SUM(F$3:F11)</f>
        <v>14368</v>
      </c>
      <c r="I11">
        <f t="shared" si="0"/>
        <v>223.25</v>
      </c>
      <c r="J11" s="1">
        <f t="shared" si="1"/>
        <v>74.41666666666667</v>
      </c>
      <c r="K11">
        <v>4.25</v>
      </c>
      <c r="L11" t="s">
        <v>22</v>
      </c>
      <c r="M11" s="2">
        <f t="shared" si="3"/>
        <v>30</v>
      </c>
      <c r="N11">
        <v>1849</v>
      </c>
    </row>
    <row r="12" spans="1:14" ht="12.75">
      <c r="A12">
        <v>1849</v>
      </c>
      <c r="B12">
        <f t="shared" si="2"/>
        <v>10</v>
      </c>
      <c r="C12">
        <v>1</v>
      </c>
      <c r="D12">
        <v>0</v>
      </c>
      <c r="E12">
        <v>0</v>
      </c>
      <c r="F12">
        <v>0</v>
      </c>
      <c r="G12">
        <f>SUM(E$3:E12)</f>
        <v>14591.25</v>
      </c>
      <c r="H12">
        <f>SUM(F$3:F12)</f>
        <v>14368</v>
      </c>
      <c r="I12">
        <f t="shared" si="0"/>
        <v>223.25</v>
      </c>
      <c r="J12" s="1">
        <f t="shared" si="1"/>
        <v>74.41666666666667</v>
      </c>
      <c r="K12">
        <v>4.25</v>
      </c>
      <c r="L12" t="s">
        <v>13</v>
      </c>
      <c r="M12" s="2">
        <f t="shared" si="3"/>
        <v>0</v>
      </c>
      <c r="N12">
        <v>1849</v>
      </c>
    </row>
    <row r="13" spans="1:14" ht="12.75">
      <c r="A13">
        <v>1852</v>
      </c>
      <c r="B13">
        <f t="shared" si="2"/>
        <v>11</v>
      </c>
      <c r="C13">
        <v>1</v>
      </c>
      <c r="D13">
        <v>0</v>
      </c>
      <c r="E13">
        <f>21*60+36</f>
        <v>1296</v>
      </c>
      <c r="F13">
        <f>E13+27</f>
        <v>1323</v>
      </c>
      <c r="G13">
        <f>SUM(E$3:E13)</f>
        <v>15887.25</v>
      </c>
      <c r="H13">
        <f>SUM(F$3:F13)</f>
        <v>15691</v>
      </c>
      <c r="I13">
        <f t="shared" si="0"/>
        <v>196.25</v>
      </c>
      <c r="J13" s="1">
        <f t="shared" si="1"/>
        <v>65.41666666666667</v>
      </c>
      <c r="K13">
        <v>4.25</v>
      </c>
      <c r="M13" s="2">
        <f t="shared" si="3"/>
        <v>-27</v>
      </c>
      <c r="N13">
        <v>1852</v>
      </c>
    </row>
    <row r="14" spans="1:14" ht="12.75">
      <c r="A14">
        <v>1854</v>
      </c>
      <c r="B14">
        <f t="shared" si="2"/>
        <v>12</v>
      </c>
      <c r="C14">
        <v>1</v>
      </c>
      <c r="D14">
        <v>0</v>
      </c>
      <c r="E14">
        <f>25*60+29</f>
        <v>1529</v>
      </c>
      <c r="F14">
        <f>E14+20</f>
        <v>1549</v>
      </c>
      <c r="G14">
        <f>SUM(E$3:E14)</f>
        <v>17416.25</v>
      </c>
      <c r="H14">
        <f>SUM(F$3:F14)</f>
        <v>17240</v>
      </c>
      <c r="I14">
        <f t="shared" si="0"/>
        <v>176.25</v>
      </c>
      <c r="J14" s="1">
        <f t="shared" si="1"/>
        <v>58.75</v>
      </c>
      <c r="K14">
        <v>4.25</v>
      </c>
      <c r="M14" s="2">
        <f t="shared" si="3"/>
        <v>-20</v>
      </c>
      <c r="N14">
        <v>1854</v>
      </c>
    </row>
    <row r="15" spans="1:14" ht="12.75">
      <c r="A15">
        <v>1856</v>
      </c>
      <c r="B15">
        <f t="shared" si="2"/>
        <v>13</v>
      </c>
      <c r="C15">
        <v>0</v>
      </c>
      <c r="D15">
        <v>1</v>
      </c>
      <c r="E15">
        <f>F15+1.5</f>
        <v>1546.5</v>
      </c>
      <c r="F15">
        <f>25*60+45</f>
        <v>1545</v>
      </c>
      <c r="G15">
        <f>SUM(E$3:E15)</f>
        <v>18962.75</v>
      </c>
      <c r="H15">
        <f>SUM(F$3:F15)</f>
        <v>18785</v>
      </c>
      <c r="I15">
        <f t="shared" si="0"/>
        <v>177.75</v>
      </c>
      <c r="J15" s="1">
        <f t="shared" si="1"/>
        <v>59.25</v>
      </c>
      <c r="K15">
        <v>4.25</v>
      </c>
      <c r="M15" s="2">
        <f t="shared" si="3"/>
        <v>1.5</v>
      </c>
      <c r="N15">
        <v>1856</v>
      </c>
    </row>
    <row r="16" spans="1:14" ht="12.75">
      <c r="A16">
        <v>1857</v>
      </c>
      <c r="B16">
        <f t="shared" si="2"/>
        <v>14</v>
      </c>
      <c r="C16">
        <v>1</v>
      </c>
      <c r="D16">
        <v>0</v>
      </c>
      <c r="E16">
        <f>22*60+50</f>
        <v>1370</v>
      </c>
      <c r="F16">
        <f>E16+32</f>
        <v>1402</v>
      </c>
      <c r="G16">
        <f>SUM(E$3:E16)</f>
        <v>20332.75</v>
      </c>
      <c r="H16">
        <f>SUM(F$3:F16)</f>
        <v>20187</v>
      </c>
      <c r="I16">
        <f t="shared" si="0"/>
        <v>145.75</v>
      </c>
      <c r="J16" s="1">
        <f t="shared" si="1"/>
        <v>48.583333333333336</v>
      </c>
      <c r="K16">
        <v>4.25</v>
      </c>
      <c r="M16" s="2">
        <f t="shared" si="3"/>
        <v>-32</v>
      </c>
      <c r="N16">
        <v>1857</v>
      </c>
    </row>
    <row r="17" spans="1:14" ht="12.75">
      <c r="A17">
        <v>1858</v>
      </c>
      <c r="B17">
        <f t="shared" si="2"/>
        <v>15</v>
      </c>
      <c r="C17">
        <v>0</v>
      </c>
      <c r="D17">
        <v>1</v>
      </c>
      <c r="E17">
        <f>F17+22</f>
        <v>1305</v>
      </c>
      <c r="F17">
        <f>21*60+23</f>
        <v>1283</v>
      </c>
      <c r="G17">
        <f>SUM(E$3:E17)</f>
        <v>21637.75</v>
      </c>
      <c r="H17">
        <f>SUM(F$3:F17)</f>
        <v>21470</v>
      </c>
      <c r="I17">
        <f t="shared" si="0"/>
        <v>167.75</v>
      </c>
      <c r="J17" s="1">
        <f t="shared" si="1"/>
        <v>55.916666666666664</v>
      </c>
      <c r="K17">
        <v>4.25</v>
      </c>
      <c r="M17" s="2">
        <f t="shared" si="3"/>
        <v>22</v>
      </c>
      <c r="N17">
        <v>1858</v>
      </c>
    </row>
    <row r="18" spans="1:14" ht="12.75">
      <c r="A18">
        <v>1859</v>
      </c>
      <c r="B18">
        <f t="shared" si="2"/>
        <v>16</v>
      </c>
      <c r="C18">
        <v>1</v>
      </c>
      <c r="D18">
        <v>0</v>
      </c>
      <c r="E18">
        <v>0</v>
      </c>
      <c r="F18">
        <v>0</v>
      </c>
      <c r="G18">
        <f>SUM(E$3:E18)</f>
        <v>21637.75</v>
      </c>
      <c r="H18">
        <f>SUM(F$3:F18)</f>
        <v>21470</v>
      </c>
      <c r="I18">
        <f t="shared" si="0"/>
        <v>167.75</v>
      </c>
      <c r="J18" s="1">
        <f t="shared" si="1"/>
        <v>55.916666666666664</v>
      </c>
      <c r="K18">
        <v>4.25</v>
      </c>
      <c r="L18" t="s">
        <v>14</v>
      </c>
      <c r="M18" s="2">
        <f t="shared" si="3"/>
        <v>0</v>
      </c>
      <c r="N18">
        <v>1859</v>
      </c>
    </row>
    <row r="19" spans="1:14" ht="12.75">
      <c r="A19">
        <v>1860</v>
      </c>
      <c r="B19">
        <f t="shared" si="2"/>
        <v>17</v>
      </c>
      <c r="C19">
        <v>0</v>
      </c>
      <c r="D19">
        <v>1</v>
      </c>
      <c r="E19">
        <f>F19+3</f>
        <v>1568</v>
      </c>
      <c r="F19">
        <f>26*60+5</f>
        <v>1565</v>
      </c>
      <c r="G19">
        <f>SUM(E$3:E19)</f>
        <v>23205.75</v>
      </c>
      <c r="H19">
        <f>SUM(F$3:F19)</f>
        <v>23035</v>
      </c>
      <c r="I19">
        <f t="shared" si="0"/>
        <v>170.75</v>
      </c>
      <c r="J19" s="1">
        <f t="shared" si="1"/>
        <v>56.916666666666664</v>
      </c>
      <c r="K19">
        <v>4.25</v>
      </c>
      <c r="M19" s="2">
        <f t="shared" si="3"/>
        <v>3</v>
      </c>
      <c r="N19">
        <v>1860</v>
      </c>
    </row>
    <row r="20" spans="1:14" ht="12.75">
      <c r="A20">
        <v>1861</v>
      </c>
      <c r="B20">
        <f t="shared" si="2"/>
        <v>18</v>
      </c>
      <c r="C20">
        <v>1</v>
      </c>
      <c r="D20">
        <v>0</v>
      </c>
      <c r="E20">
        <f>23*60+30</f>
        <v>1410</v>
      </c>
      <c r="F20">
        <f>E20+47</f>
        <v>1457</v>
      </c>
      <c r="G20">
        <f>SUM(E$3:E20)</f>
        <v>24615.75</v>
      </c>
      <c r="H20">
        <f>SUM(F$3:F20)</f>
        <v>24492</v>
      </c>
      <c r="I20">
        <f t="shared" si="0"/>
        <v>123.75</v>
      </c>
      <c r="J20" s="1">
        <f t="shared" si="1"/>
        <v>41.25</v>
      </c>
      <c r="K20">
        <v>4.25</v>
      </c>
      <c r="M20" s="2">
        <f t="shared" si="3"/>
        <v>-47</v>
      </c>
      <c r="N20">
        <v>1861</v>
      </c>
    </row>
    <row r="21" spans="1:14" ht="12.75">
      <c r="A21">
        <v>1862</v>
      </c>
      <c r="B21">
        <f t="shared" si="2"/>
        <v>19</v>
      </c>
      <c r="C21">
        <v>1</v>
      </c>
      <c r="D21">
        <v>0</v>
      </c>
      <c r="E21">
        <f>24*60+40</f>
        <v>1480</v>
      </c>
      <c r="F21">
        <f>E21+30</f>
        <v>1510</v>
      </c>
      <c r="G21">
        <f>SUM(E$3:E21)</f>
        <v>26095.75</v>
      </c>
      <c r="H21">
        <f>SUM(F$3:F21)</f>
        <v>26002</v>
      </c>
      <c r="I21">
        <f t="shared" si="0"/>
        <v>93.75</v>
      </c>
      <c r="J21" s="1">
        <f t="shared" si="1"/>
        <v>31.25</v>
      </c>
      <c r="K21">
        <v>4.25</v>
      </c>
      <c r="M21" s="2">
        <f t="shared" si="3"/>
        <v>-30</v>
      </c>
      <c r="N21">
        <v>1862</v>
      </c>
    </row>
    <row r="22" spans="1:14" ht="12.75">
      <c r="A22">
        <v>1863</v>
      </c>
      <c r="B22">
        <f t="shared" si="2"/>
        <v>20</v>
      </c>
      <c r="C22">
        <v>1</v>
      </c>
      <c r="D22">
        <v>0</v>
      </c>
      <c r="E22">
        <f>23*60+6</f>
        <v>1386</v>
      </c>
      <c r="F22">
        <f>E22+45</f>
        <v>1431</v>
      </c>
      <c r="G22">
        <f>SUM(E$3:E22)</f>
        <v>27481.75</v>
      </c>
      <c r="H22">
        <f>SUM(F$3:F22)</f>
        <v>27433</v>
      </c>
      <c r="I22">
        <f t="shared" si="0"/>
        <v>48.75</v>
      </c>
      <c r="J22" s="1">
        <f t="shared" si="1"/>
        <v>16.25</v>
      </c>
      <c r="K22">
        <v>4.25</v>
      </c>
      <c r="M22" s="2">
        <f t="shared" si="3"/>
        <v>-45</v>
      </c>
      <c r="N22">
        <v>1863</v>
      </c>
    </row>
    <row r="23" spans="1:14" ht="12.75">
      <c r="A23">
        <v>1864</v>
      </c>
      <c r="B23">
        <f t="shared" si="2"/>
        <v>21</v>
      </c>
      <c r="C23">
        <v>1</v>
      </c>
      <c r="D23">
        <v>0</v>
      </c>
      <c r="E23">
        <f>21*60+40</f>
        <v>1300</v>
      </c>
      <c r="F23">
        <f>E23+27</f>
        <v>1327</v>
      </c>
      <c r="G23">
        <f>SUM(E$3:E23)</f>
        <v>28781.75</v>
      </c>
      <c r="H23">
        <f>SUM(F$3:F23)</f>
        <v>28760</v>
      </c>
      <c r="I23">
        <f t="shared" si="0"/>
        <v>21.75</v>
      </c>
      <c r="J23" s="1">
        <f t="shared" si="1"/>
        <v>7.25</v>
      </c>
      <c r="K23">
        <v>4.25</v>
      </c>
      <c r="M23" s="2">
        <f t="shared" si="3"/>
        <v>-27</v>
      </c>
      <c r="N23">
        <v>1864</v>
      </c>
    </row>
    <row r="24" spans="1:14" ht="12.75">
      <c r="A24">
        <v>1865</v>
      </c>
      <c r="B24">
        <f t="shared" si="2"/>
        <v>22</v>
      </c>
      <c r="C24">
        <v>1</v>
      </c>
      <c r="D24">
        <v>0</v>
      </c>
      <c r="E24">
        <f>21*60+24</f>
        <v>1284</v>
      </c>
      <c r="F24">
        <f>E24+12</f>
        <v>1296</v>
      </c>
      <c r="G24">
        <f>SUM(E$3:E24)</f>
        <v>30065.75</v>
      </c>
      <c r="H24">
        <f>SUM(F$3:F24)</f>
        <v>30056</v>
      </c>
      <c r="I24">
        <f t="shared" si="0"/>
        <v>9.75</v>
      </c>
      <c r="J24" s="1">
        <f t="shared" si="1"/>
        <v>3.25</v>
      </c>
      <c r="K24">
        <v>4.25</v>
      </c>
      <c r="M24" s="2">
        <f t="shared" si="3"/>
        <v>-12</v>
      </c>
      <c r="N24">
        <v>1865</v>
      </c>
    </row>
    <row r="25" spans="1:14" ht="12.75">
      <c r="A25">
        <v>1866</v>
      </c>
      <c r="B25">
        <f t="shared" si="2"/>
        <v>23</v>
      </c>
      <c r="C25">
        <v>1</v>
      </c>
      <c r="D25">
        <v>0</v>
      </c>
      <c r="E25">
        <f>25*60+35</f>
        <v>1535</v>
      </c>
      <c r="F25">
        <f>E25+9</f>
        <v>1544</v>
      </c>
      <c r="G25">
        <f>SUM(E$3:E25)</f>
        <v>31600.75</v>
      </c>
      <c r="H25">
        <f>SUM(F$3:F25)</f>
        <v>31600</v>
      </c>
      <c r="I25">
        <f t="shared" si="0"/>
        <v>0.75</v>
      </c>
      <c r="J25" s="1">
        <f t="shared" si="1"/>
        <v>0.25</v>
      </c>
      <c r="K25">
        <v>4.25</v>
      </c>
      <c r="M25" s="2">
        <f t="shared" si="3"/>
        <v>-9</v>
      </c>
      <c r="N25">
        <v>1866</v>
      </c>
    </row>
    <row r="26" spans="1:14" ht="12.75">
      <c r="A26">
        <v>1867</v>
      </c>
      <c r="B26">
        <f t="shared" si="2"/>
        <v>24</v>
      </c>
      <c r="C26">
        <v>1</v>
      </c>
      <c r="D26">
        <v>0</v>
      </c>
      <c r="E26">
        <f>22*60+39</f>
        <v>1359</v>
      </c>
      <c r="F26">
        <f>E26+1.5</f>
        <v>1360.5</v>
      </c>
      <c r="G26">
        <f>SUM(E$3:E26)</f>
        <v>32959.75</v>
      </c>
      <c r="H26">
        <f>SUM(F$3:F26)</f>
        <v>32960.5</v>
      </c>
      <c r="I26">
        <f t="shared" si="0"/>
        <v>-0.75</v>
      </c>
      <c r="J26" s="1">
        <f t="shared" si="1"/>
        <v>-0.25</v>
      </c>
      <c r="K26">
        <v>4.25</v>
      </c>
      <c r="M26" s="2">
        <f t="shared" si="3"/>
        <v>-1.5</v>
      </c>
      <c r="N26">
        <v>1867</v>
      </c>
    </row>
    <row r="27" spans="1:14" ht="12.75">
      <c r="A27">
        <v>1868</v>
      </c>
      <c r="B27">
        <f t="shared" si="2"/>
        <v>25</v>
      </c>
      <c r="C27">
        <v>1</v>
      </c>
      <c r="D27">
        <v>0</v>
      </c>
      <c r="E27">
        <f>20*60+56</f>
        <v>1256</v>
      </c>
      <c r="F27">
        <f>E27+18</f>
        <v>1274</v>
      </c>
      <c r="G27">
        <f>SUM(E$3:E27)</f>
        <v>34215.75</v>
      </c>
      <c r="H27">
        <f>SUM(F$3:F27)</f>
        <v>34234.5</v>
      </c>
      <c r="I27">
        <f t="shared" si="0"/>
        <v>-18.75</v>
      </c>
      <c r="J27" s="1">
        <f t="shared" si="1"/>
        <v>-6.25</v>
      </c>
      <c r="K27">
        <v>4.25</v>
      </c>
      <c r="M27" s="2">
        <f t="shared" si="3"/>
        <v>-18</v>
      </c>
      <c r="N27">
        <v>1868</v>
      </c>
    </row>
    <row r="28" spans="1:14" ht="12.75">
      <c r="A28">
        <v>1869</v>
      </c>
      <c r="B28">
        <f t="shared" si="2"/>
        <v>26</v>
      </c>
      <c r="C28">
        <v>1</v>
      </c>
      <c r="D28">
        <v>0</v>
      </c>
      <c r="E28">
        <f>20*60+4</f>
        <v>1204</v>
      </c>
      <c r="F28">
        <f>E28+9</f>
        <v>1213</v>
      </c>
      <c r="G28">
        <f>SUM(E$3:E28)</f>
        <v>35419.75</v>
      </c>
      <c r="H28">
        <f>SUM(F$3:F28)</f>
        <v>35447.5</v>
      </c>
      <c r="I28">
        <f t="shared" si="0"/>
        <v>-27.75</v>
      </c>
      <c r="J28" s="1">
        <f t="shared" si="1"/>
        <v>-9.25</v>
      </c>
      <c r="K28">
        <v>4.25</v>
      </c>
      <c r="M28" s="2">
        <f t="shared" si="3"/>
        <v>-9</v>
      </c>
      <c r="N28">
        <v>1869</v>
      </c>
    </row>
    <row r="29" spans="1:14" ht="12.75">
      <c r="A29">
        <v>1870</v>
      </c>
      <c r="B29">
        <f t="shared" si="2"/>
        <v>27</v>
      </c>
      <c r="C29">
        <v>0</v>
      </c>
      <c r="D29">
        <v>1</v>
      </c>
      <c r="E29">
        <f>F29+4.5</f>
        <v>1328.5</v>
      </c>
      <c r="F29">
        <f>22*60+4</f>
        <v>1324</v>
      </c>
      <c r="G29">
        <f>SUM(E$3:E29)</f>
        <v>36748.25</v>
      </c>
      <c r="H29">
        <f>SUM(F$3:F29)</f>
        <v>36771.5</v>
      </c>
      <c r="I29">
        <f t="shared" si="0"/>
        <v>-23.25</v>
      </c>
      <c r="J29" s="1">
        <f t="shared" si="1"/>
        <v>-7.75</v>
      </c>
      <c r="K29">
        <v>4.25</v>
      </c>
      <c r="M29" s="2">
        <f t="shared" si="3"/>
        <v>4.5</v>
      </c>
      <c r="N29">
        <v>1870</v>
      </c>
    </row>
    <row r="30" spans="1:14" ht="12.75">
      <c r="A30">
        <v>1871</v>
      </c>
      <c r="B30">
        <f t="shared" si="2"/>
        <v>28</v>
      </c>
      <c r="C30">
        <v>0</v>
      </c>
      <c r="D30">
        <v>1</v>
      </c>
      <c r="E30">
        <f>F30+3</f>
        <v>1393</v>
      </c>
      <c r="F30">
        <f>23*60+10</f>
        <v>1390</v>
      </c>
      <c r="G30">
        <f>SUM(E$3:E30)</f>
        <v>38141.25</v>
      </c>
      <c r="H30">
        <f>SUM(F$3:F30)</f>
        <v>38161.5</v>
      </c>
      <c r="I30">
        <f t="shared" si="0"/>
        <v>-20.25</v>
      </c>
      <c r="J30" s="1">
        <f t="shared" si="1"/>
        <v>-6.75</v>
      </c>
      <c r="K30">
        <v>4.25</v>
      </c>
      <c r="M30" s="2">
        <f t="shared" si="3"/>
        <v>3</v>
      </c>
      <c r="N30">
        <v>1871</v>
      </c>
    </row>
    <row r="31" spans="1:14" ht="12.75">
      <c r="A31">
        <v>1872</v>
      </c>
      <c r="B31">
        <f t="shared" si="2"/>
        <v>29</v>
      </c>
      <c r="C31">
        <v>0</v>
      </c>
      <c r="D31">
        <v>1</v>
      </c>
      <c r="E31">
        <f>F31+6</f>
        <v>1281</v>
      </c>
      <c r="F31">
        <f>21*60+15</f>
        <v>1275</v>
      </c>
      <c r="G31">
        <f>SUM(E$3:E31)</f>
        <v>39422.25</v>
      </c>
      <c r="H31">
        <f>SUM(F$3:F31)</f>
        <v>39436.5</v>
      </c>
      <c r="I31">
        <f t="shared" si="0"/>
        <v>-14.25</v>
      </c>
      <c r="J31" s="1">
        <f t="shared" si="1"/>
        <v>-4.75</v>
      </c>
      <c r="K31">
        <v>4.25</v>
      </c>
      <c r="M31" s="2">
        <f t="shared" si="3"/>
        <v>6</v>
      </c>
      <c r="N31">
        <v>1872</v>
      </c>
    </row>
    <row r="32" spans="1:14" ht="12.75">
      <c r="A32">
        <v>1873</v>
      </c>
      <c r="B32">
        <f t="shared" si="2"/>
        <v>30</v>
      </c>
      <c r="C32">
        <v>0</v>
      </c>
      <c r="D32">
        <v>1</v>
      </c>
      <c r="E32">
        <f>F32+9</f>
        <v>1184</v>
      </c>
      <c r="F32">
        <f>19*60+35</f>
        <v>1175</v>
      </c>
      <c r="G32">
        <f>SUM(E$3:E32)</f>
        <v>40606.25</v>
      </c>
      <c r="H32">
        <f>SUM(F$3:F32)</f>
        <v>40611.5</v>
      </c>
      <c r="I32">
        <f t="shared" si="0"/>
        <v>-5.25</v>
      </c>
      <c r="J32" s="1">
        <f t="shared" si="1"/>
        <v>-1.75</v>
      </c>
      <c r="K32">
        <v>4.25</v>
      </c>
      <c r="M32" s="2">
        <f t="shared" si="3"/>
        <v>9</v>
      </c>
      <c r="N32">
        <v>1873</v>
      </c>
    </row>
    <row r="33" spans="1:14" ht="12.75">
      <c r="A33">
        <v>1874</v>
      </c>
      <c r="B33">
        <f t="shared" si="2"/>
        <v>31</v>
      </c>
      <c r="C33">
        <v>0</v>
      </c>
      <c r="D33">
        <v>1</v>
      </c>
      <c r="E33">
        <f>F33+10.5</f>
        <v>1365.5</v>
      </c>
      <c r="F33">
        <f>22*60+35</f>
        <v>1355</v>
      </c>
      <c r="G33">
        <f>SUM(E$3:E33)</f>
        <v>41971.75</v>
      </c>
      <c r="H33">
        <f>SUM(F$3:F33)</f>
        <v>41966.5</v>
      </c>
      <c r="I33">
        <f t="shared" si="0"/>
        <v>5.25</v>
      </c>
      <c r="J33" s="1">
        <f t="shared" si="1"/>
        <v>1.75</v>
      </c>
      <c r="K33">
        <v>4.25</v>
      </c>
      <c r="M33" s="2">
        <f t="shared" si="3"/>
        <v>10.5</v>
      </c>
      <c r="N33">
        <v>1874</v>
      </c>
    </row>
    <row r="34" spans="1:14" ht="12.75">
      <c r="A34">
        <v>1875</v>
      </c>
      <c r="B34">
        <f t="shared" si="2"/>
        <v>32</v>
      </c>
      <c r="C34">
        <v>1</v>
      </c>
      <c r="D34">
        <v>0</v>
      </c>
      <c r="E34">
        <f>22*60+2</f>
        <v>1322</v>
      </c>
      <c r="F34">
        <f>E34+30</f>
        <v>1352</v>
      </c>
      <c r="G34">
        <f>SUM(E$3:E34)</f>
        <v>43293.75</v>
      </c>
      <c r="H34">
        <f>SUM(F$3:F34)</f>
        <v>43318.5</v>
      </c>
      <c r="I34">
        <f t="shared" si="0"/>
        <v>-24.75</v>
      </c>
      <c r="J34" s="1">
        <f t="shared" si="1"/>
        <v>-8.25</v>
      </c>
      <c r="K34">
        <v>4.25</v>
      </c>
      <c r="M34" s="2">
        <f t="shared" si="3"/>
        <v>-30</v>
      </c>
      <c r="N34">
        <v>1875</v>
      </c>
    </row>
    <row r="35" spans="1:14" ht="12.75">
      <c r="A35">
        <v>1876</v>
      </c>
      <c r="B35">
        <f t="shared" si="2"/>
        <v>33</v>
      </c>
      <c r="C35">
        <v>0</v>
      </c>
      <c r="D35">
        <v>1</v>
      </c>
      <c r="E35">
        <f>F35+30</f>
        <v>1250</v>
      </c>
      <c r="F35">
        <f>20*60+20</f>
        <v>1220</v>
      </c>
      <c r="G35">
        <f>SUM(E$3:E35)</f>
        <v>44543.75</v>
      </c>
      <c r="H35">
        <f>SUM(F$3:F35)</f>
        <v>44538.5</v>
      </c>
      <c r="I35">
        <f aca="true" t="shared" si="4" ref="I35:I66">G35-H35</f>
        <v>5.25</v>
      </c>
      <c r="J35" s="1">
        <f aca="true" t="shared" si="5" ref="J35:J66">I35/3</f>
        <v>1.75</v>
      </c>
      <c r="K35">
        <v>4.25</v>
      </c>
      <c r="M35" s="2">
        <f t="shared" si="3"/>
        <v>30</v>
      </c>
      <c r="N35">
        <v>1876</v>
      </c>
    </row>
    <row r="36" spans="1:14" ht="12.75">
      <c r="A36">
        <v>1877</v>
      </c>
      <c r="B36">
        <f aca="true" t="shared" si="6" ref="B36:B67">B35+1</f>
        <v>34</v>
      </c>
      <c r="C36">
        <v>0</v>
      </c>
      <c r="D36">
        <v>0</v>
      </c>
      <c r="E36">
        <f>24*60+8</f>
        <v>1448</v>
      </c>
      <c r="F36">
        <f>E36</f>
        <v>1448</v>
      </c>
      <c r="G36">
        <f>SUM(E$3:E36)</f>
        <v>45991.75</v>
      </c>
      <c r="H36">
        <f>SUM(F$3:F36)</f>
        <v>45986.5</v>
      </c>
      <c r="I36">
        <f t="shared" si="4"/>
        <v>5.25</v>
      </c>
      <c r="J36" s="1">
        <f t="shared" si="5"/>
        <v>1.75</v>
      </c>
      <c r="K36">
        <v>4.25</v>
      </c>
      <c r="L36" t="s">
        <v>15</v>
      </c>
      <c r="M36" s="2">
        <f t="shared" si="3"/>
        <v>0</v>
      </c>
      <c r="N36">
        <v>1877</v>
      </c>
    </row>
    <row r="37" spans="1:14" ht="12.75">
      <c r="A37">
        <v>1878</v>
      </c>
      <c r="B37">
        <f t="shared" si="6"/>
        <v>35</v>
      </c>
      <c r="C37">
        <v>1</v>
      </c>
      <c r="D37">
        <v>0</v>
      </c>
      <c r="E37">
        <f>22*60+15</f>
        <v>1335</v>
      </c>
      <c r="F37">
        <f>E37+30</f>
        <v>1365</v>
      </c>
      <c r="G37">
        <f>SUM(E$3:E37)</f>
        <v>47326.75</v>
      </c>
      <c r="H37">
        <f>SUM(F$3:F37)</f>
        <v>47351.5</v>
      </c>
      <c r="I37">
        <f t="shared" si="4"/>
        <v>-24.75</v>
      </c>
      <c r="J37" s="1">
        <f t="shared" si="5"/>
        <v>-8.25</v>
      </c>
      <c r="K37">
        <v>4.25</v>
      </c>
      <c r="M37" s="2">
        <f t="shared" si="3"/>
        <v>-30</v>
      </c>
      <c r="N37">
        <v>1878</v>
      </c>
    </row>
    <row r="38" spans="1:14" ht="12.75">
      <c r="A38">
        <v>1879</v>
      </c>
      <c r="B38">
        <f t="shared" si="6"/>
        <v>36</v>
      </c>
      <c r="C38">
        <v>0</v>
      </c>
      <c r="D38">
        <v>1</v>
      </c>
      <c r="E38">
        <f>F38+9</f>
        <v>1287</v>
      </c>
      <c r="F38">
        <f>21*60+18</f>
        <v>1278</v>
      </c>
      <c r="G38">
        <f>SUM(E$3:E38)</f>
        <v>48613.75</v>
      </c>
      <c r="H38">
        <f>SUM(F$3:F38)</f>
        <v>48629.5</v>
      </c>
      <c r="I38">
        <f t="shared" si="4"/>
        <v>-15.75</v>
      </c>
      <c r="J38" s="1">
        <f t="shared" si="5"/>
        <v>-5.25</v>
      </c>
      <c r="K38">
        <v>4.25</v>
      </c>
      <c r="M38" s="2">
        <f t="shared" si="3"/>
        <v>9</v>
      </c>
      <c r="N38">
        <v>1879</v>
      </c>
    </row>
    <row r="39" spans="1:14" ht="12.75">
      <c r="A39">
        <v>1880</v>
      </c>
      <c r="B39">
        <f t="shared" si="6"/>
        <v>37</v>
      </c>
      <c r="C39">
        <v>1</v>
      </c>
      <c r="D39">
        <v>0</v>
      </c>
      <c r="E39">
        <f>21*60+23</f>
        <v>1283</v>
      </c>
      <c r="F39">
        <f>E39+3.75*3</f>
        <v>1294.25</v>
      </c>
      <c r="G39">
        <f>SUM(E$3:E39)</f>
        <v>49896.75</v>
      </c>
      <c r="H39">
        <f>SUM(F$3:F39)</f>
        <v>49923.75</v>
      </c>
      <c r="I39">
        <f t="shared" si="4"/>
        <v>-27</v>
      </c>
      <c r="J39" s="1">
        <f t="shared" si="5"/>
        <v>-9</v>
      </c>
      <c r="K39">
        <v>4.25</v>
      </c>
      <c r="M39" s="2">
        <f t="shared" si="3"/>
        <v>-11.25</v>
      </c>
      <c r="N39">
        <v>1880</v>
      </c>
    </row>
    <row r="40" spans="1:14" ht="12.75">
      <c r="A40">
        <v>1881</v>
      </c>
      <c r="B40">
        <f t="shared" si="6"/>
        <v>38</v>
      </c>
      <c r="C40">
        <v>1</v>
      </c>
      <c r="D40">
        <v>0</v>
      </c>
      <c r="E40">
        <f>21*60+51</f>
        <v>1311</v>
      </c>
      <c r="F40">
        <f>E40+9</f>
        <v>1320</v>
      </c>
      <c r="G40">
        <f>SUM(E$3:E40)</f>
        <v>51207.75</v>
      </c>
      <c r="H40">
        <f>SUM(F$3:F40)</f>
        <v>51243.75</v>
      </c>
      <c r="I40">
        <f t="shared" si="4"/>
        <v>-36</v>
      </c>
      <c r="J40" s="1">
        <f t="shared" si="5"/>
        <v>-12</v>
      </c>
      <c r="K40">
        <v>4.25</v>
      </c>
      <c r="M40" s="2">
        <f t="shared" si="3"/>
        <v>-9</v>
      </c>
      <c r="N40">
        <v>1881</v>
      </c>
    </row>
    <row r="41" spans="1:14" ht="12.75">
      <c r="A41">
        <v>1882</v>
      </c>
      <c r="B41">
        <f t="shared" si="6"/>
        <v>39</v>
      </c>
      <c r="C41">
        <v>1</v>
      </c>
      <c r="D41">
        <v>0</v>
      </c>
      <c r="E41">
        <f>20*60+12</f>
        <v>1212</v>
      </c>
      <c r="F41">
        <f>E41+21</f>
        <v>1233</v>
      </c>
      <c r="G41">
        <f>SUM(E$3:E41)</f>
        <v>52419.75</v>
      </c>
      <c r="H41">
        <f>SUM(F$3:F41)</f>
        <v>52476.75</v>
      </c>
      <c r="I41">
        <f t="shared" si="4"/>
        <v>-57</v>
      </c>
      <c r="J41" s="1">
        <f t="shared" si="5"/>
        <v>-19</v>
      </c>
      <c r="K41">
        <v>4.25</v>
      </c>
      <c r="M41" s="2">
        <f t="shared" si="3"/>
        <v>-21</v>
      </c>
      <c r="N41">
        <v>1882</v>
      </c>
    </row>
    <row r="42" spans="1:14" ht="12.75">
      <c r="A42">
        <v>1883</v>
      </c>
      <c r="B42">
        <f t="shared" si="6"/>
        <v>40</v>
      </c>
      <c r="C42">
        <v>1</v>
      </c>
      <c r="D42">
        <v>0</v>
      </c>
      <c r="E42">
        <f>21*60+18</f>
        <v>1278</v>
      </c>
      <c r="F42">
        <f>E42+10.5</f>
        <v>1288.5</v>
      </c>
      <c r="G42">
        <f>SUM(E$3:E42)</f>
        <v>53697.75</v>
      </c>
      <c r="H42">
        <f>SUM(F$3:F42)</f>
        <v>53765.25</v>
      </c>
      <c r="I42">
        <f t="shared" si="4"/>
        <v>-67.5</v>
      </c>
      <c r="J42" s="1">
        <f t="shared" si="5"/>
        <v>-22.5</v>
      </c>
      <c r="K42">
        <v>4.25</v>
      </c>
      <c r="M42" s="2">
        <f t="shared" si="3"/>
        <v>-10.5</v>
      </c>
      <c r="N42">
        <v>1883</v>
      </c>
    </row>
    <row r="43" spans="1:14" ht="12.75">
      <c r="A43">
        <v>1884</v>
      </c>
      <c r="B43">
        <f t="shared" si="6"/>
        <v>41</v>
      </c>
      <c r="C43">
        <v>0</v>
      </c>
      <c r="D43">
        <v>1</v>
      </c>
      <c r="E43">
        <f>F43+7.5</f>
        <v>1306.5</v>
      </c>
      <c r="F43">
        <f>21*60+39</f>
        <v>1299</v>
      </c>
      <c r="G43">
        <f>SUM(E$3:E43)</f>
        <v>55004.25</v>
      </c>
      <c r="H43">
        <f>SUM(F$3:F43)</f>
        <v>55064.25</v>
      </c>
      <c r="I43">
        <f t="shared" si="4"/>
        <v>-60</v>
      </c>
      <c r="J43" s="1">
        <f t="shared" si="5"/>
        <v>-20</v>
      </c>
      <c r="K43">
        <v>4.25</v>
      </c>
      <c r="M43" s="2">
        <f t="shared" si="3"/>
        <v>7.5</v>
      </c>
      <c r="N43">
        <v>1884</v>
      </c>
    </row>
    <row r="44" spans="1:14" ht="12.75">
      <c r="A44">
        <v>1885</v>
      </c>
      <c r="B44">
        <f t="shared" si="6"/>
        <v>42</v>
      </c>
      <c r="C44">
        <v>1</v>
      </c>
      <c r="D44">
        <v>0</v>
      </c>
      <c r="E44">
        <f>21*60+36</f>
        <v>1296</v>
      </c>
      <c r="F44">
        <f>E44+7.5</f>
        <v>1303.5</v>
      </c>
      <c r="G44">
        <f>SUM(E$3:E44)</f>
        <v>56300.25</v>
      </c>
      <c r="H44">
        <f>SUM(F$3:F44)</f>
        <v>56367.75</v>
      </c>
      <c r="I44">
        <f t="shared" si="4"/>
        <v>-67.5</v>
      </c>
      <c r="J44" s="1">
        <f t="shared" si="5"/>
        <v>-22.5</v>
      </c>
      <c r="K44">
        <v>4.25</v>
      </c>
      <c r="M44" s="2">
        <f t="shared" si="3"/>
        <v>-7.5</v>
      </c>
      <c r="N44">
        <v>1885</v>
      </c>
    </row>
    <row r="45" spans="1:14" ht="12.75">
      <c r="A45">
        <v>1886</v>
      </c>
      <c r="B45">
        <f t="shared" si="6"/>
        <v>43</v>
      </c>
      <c r="C45">
        <v>0</v>
      </c>
      <c r="D45">
        <v>1</v>
      </c>
      <c r="E45">
        <f>F45+2</f>
        <v>1352</v>
      </c>
      <c r="F45">
        <f>22*60+30</f>
        <v>1350</v>
      </c>
      <c r="G45">
        <f>SUM(E$3:E45)</f>
        <v>57652.25</v>
      </c>
      <c r="H45">
        <f>SUM(F$3:F45)</f>
        <v>57717.75</v>
      </c>
      <c r="I45">
        <f t="shared" si="4"/>
        <v>-65.5</v>
      </c>
      <c r="J45" s="1">
        <f t="shared" si="5"/>
        <v>-21.833333333333332</v>
      </c>
      <c r="K45">
        <v>4.25</v>
      </c>
      <c r="M45" s="2">
        <f>E45-F45</f>
        <v>2</v>
      </c>
      <c r="N45">
        <v>1886</v>
      </c>
    </row>
    <row r="46" spans="1:14" ht="12.75">
      <c r="A46">
        <v>1887</v>
      </c>
      <c r="B46">
        <f t="shared" si="6"/>
        <v>44</v>
      </c>
      <c r="C46">
        <v>0</v>
      </c>
      <c r="D46">
        <v>1</v>
      </c>
      <c r="E46">
        <f>F46+7.5</f>
        <v>1229.5</v>
      </c>
      <c r="F46">
        <f>20*60+22</f>
        <v>1222</v>
      </c>
      <c r="G46">
        <f>SUM(E$3:E46)</f>
        <v>58881.75</v>
      </c>
      <c r="H46">
        <f>SUM(F$3:F46)</f>
        <v>58939.75</v>
      </c>
      <c r="I46">
        <f t="shared" si="4"/>
        <v>-58</v>
      </c>
      <c r="J46" s="1">
        <f t="shared" si="5"/>
        <v>-19.333333333333332</v>
      </c>
      <c r="K46">
        <v>4.25</v>
      </c>
      <c r="M46" s="2">
        <f t="shared" si="3"/>
        <v>7.5</v>
      </c>
      <c r="N46">
        <v>1887</v>
      </c>
    </row>
    <row r="47" spans="1:14" ht="12.75">
      <c r="A47">
        <v>1888</v>
      </c>
      <c r="B47">
        <f t="shared" si="6"/>
        <v>45</v>
      </c>
      <c r="C47">
        <v>0</v>
      </c>
      <c r="D47">
        <v>1</v>
      </c>
      <c r="E47">
        <f>F47+21</f>
        <v>1269</v>
      </c>
      <c r="F47">
        <f>20*60+48</f>
        <v>1248</v>
      </c>
      <c r="G47">
        <f>SUM(E$3:E47)</f>
        <v>60150.75</v>
      </c>
      <c r="H47">
        <f>SUM(F$3:F47)</f>
        <v>60187.75</v>
      </c>
      <c r="I47">
        <f t="shared" si="4"/>
        <v>-37</v>
      </c>
      <c r="J47" s="1">
        <f t="shared" si="5"/>
        <v>-12.333333333333334</v>
      </c>
      <c r="K47">
        <v>4.25</v>
      </c>
      <c r="M47" s="2">
        <f t="shared" si="3"/>
        <v>21</v>
      </c>
      <c r="N47">
        <v>1888</v>
      </c>
    </row>
    <row r="48" spans="1:14" ht="12.75">
      <c r="A48">
        <v>1889</v>
      </c>
      <c r="B48">
        <f t="shared" si="6"/>
        <v>46</v>
      </c>
      <c r="C48">
        <v>0</v>
      </c>
      <c r="D48">
        <v>1</v>
      </c>
      <c r="E48">
        <f>F48+9</f>
        <v>1223</v>
      </c>
      <c r="F48">
        <f>20*60+14</f>
        <v>1214</v>
      </c>
      <c r="G48">
        <f>SUM(E$3:E48)</f>
        <v>61373.75</v>
      </c>
      <c r="H48">
        <f>SUM(F$3:F48)</f>
        <v>61401.75</v>
      </c>
      <c r="I48">
        <f t="shared" si="4"/>
        <v>-28</v>
      </c>
      <c r="J48" s="1">
        <f t="shared" si="5"/>
        <v>-9.333333333333334</v>
      </c>
      <c r="K48">
        <v>4.25</v>
      </c>
      <c r="M48" s="2">
        <f t="shared" si="3"/>
        <v>9</v>
      </c>
      <c r="N48">
        <v>1889</v>
      </c>
    </row>
    <row r="49" spans="1:14" ht="12.75">
      <c r="A49">
        <v>1890</v>
      </c>
      <c r="B49">
        <f t="shared" si="6"/>
        <v>47</v>
      </c>
      <c r="C49">
        <v>1</v>
      </c>
      <c r="D49">
        <v>0</v>
      </c>
      <c r="E49">
        <f>22*60+3</f>
        <v>1323</v>
      </c>
      <c r="F49">
        <f>E49+3</f>
        <v>1326</v>
      </c>
      <c r="G49">
        <f>SUM(E$3:E49)</f>
        <v>62696.75</v>
      </c>
      <c r="H49">
        <f>SUM(F$3:F49)</f>
        <v>62727.75</v>
      </c>
      <c r="I49">
        <f t="shared" si="4"/>
        <v>-31</v>
      </c>
      <c r="J49" s="1">
        <f t="shared" si="5"/>
        <v>-10.333333333333334</v>
      </c>
      <c r="K49">
        <v>4.25</v>
      </c>
      <c r="M49" s="2">
        <f t="shared" si="3"/>
        <v>-3</v>
      </c>
      <c r="N49">
        <v>1890</v>
      </c>
    </row>
    <row r="50" spans="1:14" ht="12.75">
      <c r="A50">
        <v>1891</v>
      </c>
      <c r="B50">
        <f t="shared" si="6"/>
        <v>48</v>
      </c>
      <c r="C50">
        <v>1</v>
      </c>
      <c r="D50">
        <v>0</v>
      </c>
      <c r="E50">
        <f>21*60+48</f>
        <v>1308</v>
      </c>
      <c r="F50">
        <f>E50+1.5</f>
        <v>1309.5</v>
      </c>
      <c r="G50">
        <f>SUM(E$3:E50)</f>
        <v>64004.75</v>
      </c>
      <c r="H50">
        <f>SUM(F$3:F50)</f>
        <v>64037.25</v>
      </c>
      <c r="I50">
        <f t="shared" si="4"/>
        <v>-32.5</v>
      </c>
      <c r="J50" s="1">
        <f t="shared" si="5"/>
        <v>-10.833333333333334</v>
      </c>
      <c r="K50">
        <v>4.25</v>
      </c>
      <c r="M50" s="2">
        <f t="shared" si="3"/>
        <v>-1.5</v>
      </c>
      <c r="N50">
        <v>1891</v>
      </c>
    </row>
    <row r="51" spans="1:14" ht="12.75">
      <c r="A51">
        <v>1892</v>
      </c>
      <c r="B51">
        <f t="shared" si="6"/>
        <v>49</v>
      </c>
      <c r="C51">
        <v>1</v>
      </c>
      <c r="D51">
        <v>0</v>
      </c>
      <c r="E51">
        <f>19*60+10</f>
        <v>1150</v>
      </c>
      <c r="F51">
        <f>E51+2.25*3</f>
        <v>1156.75</v>
      </c>
      <c r="G51">
        <f>SUM(E$3:E51)</f>
        <v>65154.75</v>
      </c>
      <c r="H51">
        <f>SUM(F$3:F51)</f>
        <v>65194</v>
      </c>
      <c r="I51">
        <f t="shared" si="4"/>
        <v>-39.25</v>
      </c>
      <c r="J51" s="1">
        <f t="shared" si="5"/>
        <v>-13.083333333333334</v>
      </c>
      <c r="K51">
        <v>4.25</v>
      </c>
      <c r="M51" s="2">
        <f t="shared" si="3"/>
        <v>-6.75</v>
      </c>
      <c r="N51">
        <v>1892</v>
      </c>
    </row>
    <row r="52" spans="1:14" ht="12.75">
      <c r="A52">
        <v>1893</v>
      </c>
      <c r="B52">
        <f t="shared" si="6"/>
        <v>50</v>
      </c>
      <c r="C52">
        <v>1</v>
      </c>
      <c r="D52">
        <v>0</v>
      </c>
      <c r="E52">
        <f>18*60+45</f>
        <v>1125</v>
      </c>
      <c r="F52">
        <f>E52+3.1</f>
        <v>1128.1</v>
      </c>
      <c r="G52">
        <f>SUM(E$3:E52)</f>
        <v>66279.75</v>
      </c>
      <c r="H52">
        <f>SUM(F$3:F52)</f>
        <v>66322.1</v>
      </c>
      <c r="I52">
        <f t="shared" si="4"/>
        <v>-42.35000000000582</v>
      </c>
      <c r="J52" s="1">
        <f t="shared" si="5"/>
        <v>-14.116666666668607</v>
      </c>
      <c r="K52">
        <v>4.25</v>
      </c>
      <c r="M52" s="2">
        <f t="shared" si="3"/>
        <v>-3.099999999999909</v>
      </c>
      <c r="N52">
        <v>1893</v>
      </c>
    </row>
    <row r="53" spans="1:14" ht="12.75">
      <c r="A53">
        <v>1894</v>
      </c>
      <c r="B53">
        <f t="shared" si="6"/>
        <v>51</v>
      </c>
      <c r="C53">
        <v>1</v>
      </c>
      <c r="D53">
        <v>0</v>
      </c>
      <c r="E53">
        <f>21*60+39</f>
        <v>1299</v>
      </c>
      <c r="F53" s="1">
        <f>E53+10.5</f>
        <v>1309.5</v>
      </c>
      <c r="G53">
        <f>SUM(E$3:E53)</f>
        <v>67578.75</v>
      </c>
      <c r="H53">
        <f>SUM(F$3:F53)</f>
        <v>67631.6</v>
      </c>
      <c r="I53">
        <f t="shared" si="4"/>
        <v>-52.85000000000582</v>
      </c>
      <c r="J53" s="1">
        <f t="shared" si="5"/>
        <v>-17.616666666668607</v>
      </c>
      <c r="K53">
        <v>4.25</v>
      </c>
      <c r="M53" s="2">
        <f t="shared" si="3"/>
        <v>-10.5</v>
      </c>
      <c r="N53">
        <v>1894</v>
      </c>
    </row>
    <row r="54" spans="1:14" ht="12.75">
      <c r="A54">
        <v>1895</v>
      </c>
      <c r="B54">
        <f t="shared" si="6"/>
        <v>52</v>
      </c>
      <c r="C54">
        <v>1</v>
      </c>
      <c r="D54">
        <v>0</v>
      </c>
      <c r="E54">
        <f>20*60+50</f>
        <v>1250</v>
      </c>
      <c r="F54" s="1">
        <f>E54+2.25*3</f>
        <v>1256.75</v>
      </c>
      <c r="G54">
        <f>SUM(E$3:E54)</f>
        <v>68828.75</v>
      </c>
      <c r="H54">
        <f>SUM(F$3:F54)</f>
        <v>68888.35</v>
      </c>
      <c r="I54">
        <f t="shared" si="4"/>
        <v>-59.60000000000582</v>
      </c>
      <c r="J54" s="1">
        <f t="shared" si="5"/>
        <v>-19.866666666668607</v>
      </c>
      <c r="K54">
        <v>4.25</v>
      </c>
      <c r="M54" s="2">
        <f t="shared" si="3"/>
        <v>-6.75</v>
      </c>
      <c r="N54">
        <v>1895</v>
      </c>
    </row>
    <row r="55" spans="1:14" ht="12.75">
      <c r="A55">
        <v>1896</v>
      </c>
      <c r="B55">
        <f t="shared" si="6"/>
        <v>53</v>
      </c>
      <c r="C55">
        <v>1</v>
      </c>
      <c r="D55">
        <v>0</v>
      </c>
      <c r="E55">
        <f>20*60+1</f>
        <v>1201</v>
      </c>
      <c r="F55" s="1">
        <f>E55+0.4*3</f>
        <v>1202.2</v>
      </c>
      <c r="G55">
        <f>SUM(E$3:E55)</f>
        <v>70029.75</v>
      </c>
      <c r="H55">
        <f>SUM(F$3:F55)</f>
        <v>70090.55</v>
      </c>
      <c r="I55">
        <f t="shared" si="4"/>
        <v>-60.80000000000291</v>
      </c>
      <c r="J55" s="1">
        <f t="shared" si="5"/>
        <v>-20.266666666667636</v>
      </c>
      <c r="K55">
        <v>4.25</v>
      </c>
      <c r="M55" s="2">
        <f t="shared" si="3"/>
        <v>-1.2000000000000455</v>
      </c>
      <c r="N55">
        <v>1896</v>
      </c>
    </row>
    <row r="56" spans="1:14" ht="12.75">
      <c r="A56">
        <v>1897</v>
      </c>
      <c r="B56">
        <f t="shared" si="6"/>
        <v>54</v>
      </c>
      <c r="C56">
        <v>1</v>
      </c>
      <c r="D56">
        <v>0</v>
      </c>
      <c r="E56">
        <f>19*60+12</f>
        <v>1152</v>
      </c>
      <c r="F56" s="1">
        <f>E56+2.5*3</f>
        <v>1159.5</v>
      </c>
      <c r="G56">
        <f>SUM(E$3:E56)</f>
        <v>71181.75</v>
      </c>
      <c r="H56">
        <f>SUM(F$3:F56)</f>
        <v>71250.05</v>
      </c>
      <c r="I56">
        <f t="shared" si="4"/>
        <v>-68.30000000000291</v>
      </c>
      <c r="J56" s="1">
        <f t="shared" si="5"/>
        <v>-22.766666666667636</v>
      </c>
      <c r="K56">
        <v>4.25</v>
      </c>
      <c r="M56" s="2">
        <f t="shared" si="3"/>
        <v>-7.5</v>
      </c>
      <c r="N56">
        <v>1897</v>
      </c>
    </row>
    <row r="57" spans="1:14" ht="12.75">
      <c r="A57">
        <v>1898</v>
      </c>
      <c r="B57">
        <f t="shared" si="6"/>
        <v>55</v>
      </c>
      <c r="C57">
        <v>1</v>
      </c>
      <c r="D57">
        <v>0</v>
      </c>
      <c r="E57">
        <f>22*60</f>
        <v>1320</v>
      </c>
      <c r="F57" s="1">
        <f>E57+30</f>
        <v>1350</v>
      </c>
      <c r="G57">
        <f>SUM(E$3:E57)</f>
        <v>72501.75</v>
      </c>
      <c r="H57">
        <f>SUM(F$3:F57)</f>
        <v>72600.05</v>
      </c>
      <c r="I57">
        <f t="shared" si="4"/>
        <v>-98.30000000000291</v>
      </c>
      <c r="J57" s="1">
        <f t="shared" si="5"/>
        <v>-32.76666666666764</v>
      </c>
      <c r="K57">
        <v>4.25</v>
      </c>
      <c r="M57" s="2">
        <f t="shared" si="3"/>
        <v>-30</v>
      </c>
      <c r="N57">
        <v>1898</v>
      </c>
    </row>
    <row r="58" spans="1:14" ht="12.75">
      <c r="A58">
        <v>1899</v>
      </c>
      <c r="B58">
        <f t="shared" si="6"/>
        <v>56</v>
      </c>
      <c r="C58">
        <v>0</v>
      </c>
      <c r="D58">
        <v>1</v>
      </c>
      <c r="E58">
        <f>F58+3.25*3</f>
        <v>1273.75</v>
      </c>
      <c r="F58" s="1">
        <f>21*60+4</f>
        <v>1264</v>
      </c>
      <c r="G58">
        <f>SUM(E$3:E58)</f>
        <v>73775.5</v>
      </c>
      <c r="H58">
        <f>SUM(F$3:F58)</f>
        <v>73864.05</v>
      </c>
      <c r="I58">
        <f t="shared" si="4"/>
        <v>-88.55000000000291</v>
      </c>
      <c r="J58" s="1">
        <f t="shared" si="5"/>
        <v>-29.516666666667636</v>
      </c>
      <c r="K58">
        <v>4.25</v>
      </c>
      <c r="M58" s="2">
        <f t="shared" si="3"/>
        <v>9.75</v>
      </c>
      <c r="N58">
        <v>1899</v>
      </c>
    </row>
    <row r="59" spans="1:14" ht="12.75">
      <c r="A59">
        <v>1900</v>
      </c>
      <c r="B59">
        <f t="shared" si="6"/>
        <v>57</v>
      </c>
      <c r="C59">
        <v>0</v>
      </c>
      <c r="D59">
        <v>1</v>
      </c>
      <c r="E59">
        <f>F59+60</f>
        <v>1185</v>
      </c>
      <c r="F59" s="1">
        <f>18*60+45</f>
        <v>1125</v>
      </c>
      <c r="G59">
        <f>SUM(E$3:E59)</f>
        <v>74960.5</v>
      </c>
      <c r="H59">
        <f>SUM(F$3:F59)</f>
        <v>74989.05</v>
      </c>
      <c r="I59">
        <f t="shared" si="4"/>
        <v>-28.55000000000291</v>
      </c>
      <c r="J59" s="1">
        <f t="shared" si="5"/>
        <v>-9.516666666667637</v>
      </c>
      <c r="K59">
        <v>4.25</v>
      </c>
      <c r="M59" s="2">
        <f t="shared" si="3"/>
        <v>60</v>
      </c>
      <c r="N59">
        <v>1900</v>
      </c>
    </row>
    <row r="60" spans="1:14" ht="12.75">
      <c r="A60">
        <v>1901</v>
      </c>
      <c r="B60">
        <f t="shared" si="6"/>
        <v>58</v>
      </c>
      <c r="C60">
        <v>1</v>
      </c>
      <c r="D60">
        <v>0</v>
      </c>
      <c r="E60">
        <f>22*60+31</f>
        <v>1351</v>
      </c>
      <c r="F60" s="1">
        <f>E60+2</f>
        <v>1353</v>
      </c>
      <c r="G60">
        <f>SUM(E$3:E60)</f>
        <v>76311.5</v>
      </c>
      <c r="H60">
        <f>SUM(F$3:F60)</f>
        <v>76342.05</v>
      </c>
      <c r="I60">
        <f t="shared" si="4"/>
        <v>-30.55000000000291</v>
      </c>
      <c r="J60" s="1">
        <f t="shared" si="5"/>
        <v>-10.183333333334303</v>
      </c>
      <c r="K60">
        <v>4.25</v>
      </c>
      <c r="M60" s="2">
        <f t="shared" si="3"/>
        <v>-2</v>
      </c>
      <c r="N60">
        <v>1901</v>
      </c>
    </row>
    <row r="61" spans="1:14" ht="12.75">
      <c r="A61">
        <v>1902</v>
      </c>
      <c r="B61">
        <f t="shared" si="6"/>
        <v>59</v>
      </c>
      <c r="C61">
        <v>0</v>
      </c>
      <c r="D61">
        <v>1</v>
      </c>
      <c r="E61">
        <f>F61+15</f>
        <v>1164</v>
      </c>
      <c r="F61" s="1">
        <f>19*60+9</f>
        <v>1149</v>
      </c>
      <c r="G61">
        <f>SUM(E$3:E61)</f>
        <v>77475.5</v>
      </c>
      <c r="H61">
        <f>SUM(F$3:F61)</f>
        <v>77491.05</v>
      </c>
      <c r="I61">
        <f t="shared" si="4"/>
        <v>-15.55000000000291</v>
      </c>
      <c r="J61" s="1">
        <f t="shared" si="5"/>
        <v>-5.1833333333343035</v>
      </c>
      <c r="K61">
        <v>4.25</v>
      </c>
      <c r="M61" s="2">
        <f t="shared" si="3"/>
        <v>15</v>
      </c>
      <c r="N61">
        <v>1902</v>
      </c>
    </row>
    <row r="62" spans="1:14" ht="12.75">
      <c r="A62">
        <v>1903</v>
      </c>
      <c r="B62">
        <f t="shared" si="6"/>
        <v>60</v>
      </c>
      <c r="C62">
        <v>0</v>
      </c>
      <c r="D62">
        <v>1</v>
      </c>
      <c r="E62">
        <f>F62+18</f>
        <v>1191</v>
      </c>
      <c r="F62" s="1">
        <f>19*60+33</f>
        <v>1173</v>
      </c>
      <c r="G62">
        <f>SUM(E$3:E62)</f>
        <v>78666.5</v>
      </c>
      <c r="H62">
        <f>SUM(F$3:F62)</f>
        <v>78664.05</v>
      </c>
      <c r="I62">
        <f t="shared" si="4"/>
        <v>2.4499999999970896</v>
      </c>
      <c r="J62" s="1">
        <f t="shared" si="5"/>
        <v>0.8166666666656965</v>
      </c>
      <c r="K62">
        <v>4.25</v>
      </c>
      <c r="M62" s="2">
        <f t="shared" si="3"/>
        <v>18</v>
      </c>
      <c r="N62">
        <v>1903</v>
      </c>
    </row>
    <row r="63" spans="1:14" ht="12.75">
      <c r="A63">
        <v>1904</v>
      </c>
      <c r="B63">
        <f t="shared" si="6"/>
        <v>61</v>
      </c>
      <c r="C63">
        <v>0</v>
      </c>
      <c r="D63">
        <v>1</v>
      </c>
      <c r="E63">
        <f>F63+4.5*3</f>
        <v>1310.5</v>
      </c>
      <c r="F63" s="1">
        <f>21*60+37</f>
        <v>1297</v>
      </c>
      <c r="G63">
        <f>SUM(E$3:E63)</f>
        <v>79977</v>
      </c>
      <c r="H63">
        <f>SUM(F$3:F63)</f>
        <v>79961.05</v>
      </c>
      <c r="I63">
        <f t="shared" si="4"/>
        <v>15.94999999999709</v>
      </c>
      <c r="J63" s="1">
        <f t="shared" si="5"/>
        <v>5.3166666666656965</v>
      </c>
      <c r="K63">
        <v>4.25</v>
      </c>
      <c r="M63" s="2">
        <f t="shared" si="3"/>
        <v>13.5</v>
      </c>
      <c r="N63">
        <v>1904</v>
      </c>
    </row>
    <row r="64" spans="1:14" ht="12.75">
      <c r="A64">
        <v>1905</v>
      </c>
      <c r="B64">
        <f t="shared" si="6"/>
        <v>62</v>
      </c>
      <c r="C64">
        <v>1</v>
      </c>
      <c r="D64">
        <v>0</v>
      </c>
      <c r="E64">
        <f>20*60+35</f>
        <v>1235</v>
      </c>
      <c r="F64" s="1">
        <f>E64+9</f>
        <v>1244</v>
      </c>
      <c r="G64">
        <f>SUM(E$3:E64)</f>
        <v>81212</v>
      </c>
      <c r="H64">
        <f>SUM(F$3:F64)</f>
        <v>81205.05</v>
      </c>
      <c r="I64">
        <f t="shared" si="4"/>
        <v>6.94999999999709</v>
      </c>
      <c r="J64" s="1">
        <f t="shared" si="5"/>
        <v>2.3166666666656965</v>
      </c>
      <c r="K64">
        <v>4.25</v>
      </c>
      <c r="M64" s="2">
        <f t="shared" si="3"/>
        <v>-9</v>
      </c>
      <c r="N64">
        <v>1905</v>
      </c>
    </row>
    <row r="65" spans="1:14" ht="12.75">
      <c r="A65">
        <v>1906</v>
      </c>
      <c r="B65">
        <f t="shared" si="6"/>
        <v>63</v>
      </c>
      <c r="C65">
        <v>0</v>
      </c>
      <c r="D65">
        <v>1</v>
      </c>
      <c r="E65" s="1">
        <f>F65+3.5*3</f>
        <v>1175.5</v>
      </c>
      <c r="F65">
        <f>19*60+25</f>
        <v>1165</v>
      </c>
      <c r="G65">
        <f>SUM(E$3:E65)</f>
        <v>82387.5</v>
      </c>
      <c r="H65">
        <f>SUM(F$3:F65)</f>
        <v>82370.05</v>
      </c>
      <c r="I65">
        <f t="shared" si="4"/>
        <v>17.44999999999709</v>
      </c>
      <c r="J65" s="1">
        <f t="shared" si="5"/>
        <v>5.8166666666656965</v>
      </c>
      <c r="K65">
        <v>4.25</v>
      </c>
      <c r="M65" s="2">
        <f t="shared" si="3"/>
        <v>10.5</v>
      </c>
      <c r="N65">
        <v>1906</v>
      </c>
    </row>
    <row r="66" spans="1:14" ht="12.75">
      <c r="A66">
        <v>1907</v>
      </c>
      <c r="B66">
        <f t="shared" si="6"/>
        <v>64</v>
      </c>
      <c r="C66">
        <v>0</v>
      </c>
      <c r="D66">
        <v>1</v>
      </c>
      <c r="E66">
        <f>F66+4.5*3</f>
        <v>1239.5</v>
      </c>
      <c r="F66" s="1">
        <f>20*60+26</f>
        <v>1226</v>
      </c>
      <c r="G66">
        <f>SUM(E$3:E66)</f>
        <v>83627</v>
      </c>
      <c r="H66">
        <f>SUM(F$3:F66)</f>
        <v>83596.05</v>
      </c>
      <c r="I66">
        <f t="shared" si="4"/>
        <v>30.94999999999709</v>
      </c>
      <c r="J66" s="1">
        <f t="shared" si="5"/>
        <v>10.316666666665697</v>
      </c>
      <c r="K66">
        <v>4.25</v>
      </c>
      <c r="M66" s="2">
        <f t="shared" si="3"/>
        <v>13.5</v>
      </c>
      <c r="N66">
        <v>1907</v>
      </c>
    </row>
    <row r="67" spans="1:14" ht="12.75">
      <c r="A67">
        <v>1908</v>
      </c>
      <c r="B67">
        <f t="shared" si="6"/>
        <v>65</v>
      </c>
      <c r="C67">
        <v>0</v>
      </c>
      <c r="D67">
        <v>1</v>
      </c>
      <c r="E67">
        <f>F67+7.5</f>
        <v>1167.5</v>
      </c>
      <c r="F67" s="1">
        <f>19*60+20</f>
        <v>1160</v>
      </c>
      <c r="G67">
        <f>SUM(E$3:E67)</f>
        <v>84794.5</v>
      </c>
      <c r="H67">
        <f>SUM(F$3:F67)</f>
        <v>84756.05</v>
      </c>
      <c r="I67">
        <f aca="true" t="shared" si="7" ref="I67:I98">G67-H67</f>
        <v>38.44999999999709</v>
      </c>
      <c r="J67" s="1">
        <f aca="true" t="shared" si="8" ref="J67:J98">I67/3</f>
        <v>12.816666666665697</v>
      </c>
      <c r="K67">
        <v>4.25</v>
      </c>
      <c r="M67" s="2">
        <f t="shared" si="3"/>
        <v>7.5</v>
      </c>
      <c r="N67">
        <v>1908</v>
      </c>
    </row>
    <row r="68" spans="1:14" ht="12.75">
      <c r="A68">
        <v>1909</v>
      </c>
      <c r="B68">
        <f aca="true" t="shared" si="9" ref="B68:B99">B67+1</f>
        <v>66</v>
      </c>
      <c r="C68">
        <v>1</v>
      </c>
      <c r="D68">
        <v>0</v>
      </c>
      <c r="E68">
        <f>19*60+50</f>
        <v>1190</v>
      </c>
      <c r="F68" s="1">
        <f>E68+3.5*3</f>
        <v>1200.5</v>
      </c>
      <c r="G68">
        <f>SUM(E$3:E68)</f>
        <v>85984.5</v>
      </c>
      <c r="H68">
        <f>SUM(F$3:F68)</f>
        <v>85956.55</v>
      </c>
      <c r="I68">
        <f t="shared" si="7"/>
        <v>27.94999999999709</v>
      </c>
      <c r="J68" s="1">
        <f t="shared" si="8"/>
        <v>9.316666666665697</v>
      </c>
      <c r="K68">
        <v>4.25</v>
      </c>
      <c r="M68" s="2">
        <f aca="true" t="shared" si="10" ref="M68:M86">E68-F68</f>
        <v>-10.5</v>
      </c>
      <c r="N68">
        <v>1909</v>
      </c>
    </row>
    <row r="69" spans="1:14" ht="12.75">
      <c r="A69">
        <v>1910</v>
      </c>
      <c r="B69">
        <f t="shared" si="9"/>
        <v>67</v>
      </c>
      <c r="C69">
        <v>1</v>
      </c>
      <c r="D69">
        <v>0</v>
      </c>
      <c r="E69">
        <f>20*60+14</f>
        <v>1214</v>
      </c>
      <c r="F69" s="1">
        <f>E69+10.5</f>
        <v>1224.5</v>
      </c>
      <c r="G69">
        <f>SUM(E$3:E69)</f>
        <v>87198.5</v>
      </c>
      <c r="H69">
        <f>SUM(F$3:F69)</f>
        <v>87181.05</v>
      </c>
      <c r="I69">
        <f t="shared" si="7"/>
        <v>17.44999999999709</v>
      </c>
      <c r="J69" s="1">
        <f t="shared" si="8"/>
        <v>5.8166666666656965</v>
      </c>
      <c r="K69">
        <v>4.25</v>
      </c>
      <c r="M69" s="2">
        <f t="shared" si="10"/>
        <v>-10.5</v>
      </c>
      <c r="N69">
        <v>1910</v>
      </c>
    </row>
    <row r="70" spans="1:14" ht="12.75">
      <c r="A70">
        <v>1911</v>
      </c>
      <c r="B70">
        <f t="shared" si="9"/>
        <v>68</v>
      </c>
      <c r="C70">
        <v>1</v>
      </c>
      <c r="D70">
        <v>0</v>
      </c>
      <c r="E70">
        <f>18*60+29</f>
        <v>1109</v>
      </c>
      <c r="F70" s="1">
        <f>E70+2.75*3</f>
        <v>1117.25</v>
      </c>
      <c r="G70">
        <f>SUM(E$3:E70)</f>
        <v>88307.5</v>
      </c>
      <c r="H70">
        <f>SUM(F$3:F70)</f>
        <v>88298.3</v>
      </c>
      <c r="I70">
        <f t="shared" si="7"/>
        <v>9.19999999999709</v>
      </c>
      <c r="J70" s="1">
        <f t="shared" si="8"/>
        <v>3.0666666666656965</v>
      </c>
      <c r="K70">
        <v>4.25</v>
      </c>
      <c r="M70" s="2">
        <f t="shared" si="10"/>
        <v>-8.25</v>
      </c>
      <c r="N70">
        <v>1911</v>
      </c>
    </row>
    <row r="71" spans="1:14" ht="12.75">
      <c r="A71">
        <v>1912</v>
      </c>
      <c r="B71">
        <f t="shared" si="9"/>
        <v>69</v>
      </c>
      <c r="C71">
        <v>1</v>
      </c>
      <c r="D71">
        <v>0</v>
      </c>
      <c r="E71">
        <f>22*60+5</f>
        <v>1325</v>
      </c>
      <c r="F71" s="1">
        <f>E71+18</f>
        <v>1343</v>
      </c>
      <c r="G71">
        <f>SUM(E$3:E71)</f>
        <v>89632.5</v>
      </c>
      <c r="H71">
        <f>SUM(F$3:F71)</f>
        <v>89641.3</v>
      </c>
      <c r="I71">
        <f t="shared" si="7"/>
        <v>-8.80000000000291</v>
      </c>
      <c r="J71" s="1">
        <f t="shared" si="8"/>
        <v>-2.9333333333343035</v>
      </c>
      <c r="K71">
        <v>4.25</v>
      </c>
      <c r="M71" s="2">
        <f t="shared" si="10"/>
        <v>-18</v>
      </c>
      <c r="N71">
        <v>1912</v>
      </c>
    </row>
    <row r="72" spans="1:14" ht="12.75">
      <c r="A72">
        <v>1913</v>
      </c>
      <c r="B72">
        <f t="shared" si="9"/>
        <v>70</v>
      </c>
      <c r="C72">
        <v>1</v>
      </c>
      <c r="D72">
        <v>0</v>
      </c>
      <c r="E72">
        <f>20*60+53</f>
        <v>1253</v>
      </c>
      <c r="F72" s="1">
        <f>E72+0.75*3</f>
        <v>1255.25</v>
      </c>
      <c r="G72">
        <f>SUM(E$3:E72)</f>
        <v>90885.5</v>
      </c>
      <c r="H72">
        <f>SUM(F$3:F72)</f>
        <v>90896.55</v>
      </c>
      <c r="I72">
        <f t="shared" si="7"/>
        <v>-11.05000000000291</v>
      </c>
      <c r="J72" s="1">
        <f t="shared" si="8"/>
        <v>-3.6833333333343035</v>
      </c>
      <c r="K72">
        <v>4.25</v>
      </c>
      <c r="M72" s="2">
        <f t="shared" si="10"/>
        <v>-2.25</v>
      </c>
      <c r="N72">
        <v>1913</v>
      </c>
    </row>
    <row r="73" spans="1:14" ht="12.75">
      <c r="A73">
        <v>1914</v>
      </c>
      <c r="B73">
        <f t="shared" si="9"/>
        <v>71</v>
      </c>
      <c r="C73">
        <v>0</v>
      </c>
      <c r="D73">
        <v>1</v>
      </c>
      <c r="E73">
        <f>F73+4.5*3</f>
        <v>1236.5</v>
      </c>
      <c r="F73" s="1">
        <f>20*60+23</f>
        <v>1223</v>
      </c>
      <c r="G73">
        <f>SUM(E$3:E73)</f>
        <v>92122</v>
      </c>
      <c r="H73">
        <f>SUM(F$3:F73)</f>
        <v>92119.55</v>
      </c>
      <c r="I73">
        <f t="shared" si="7"/>
        <v>2.4499999999970896</v>
      </c>
      <c r="J73" s="1">
        <f t="shared" si="8"/>
        <v>0.8166666666656965</v>
      </c>
      <c r="K73">
        <v>4.25</v>
      </c>
      <c r="M73" s="2">
        <f t="shared" si="10"/>
        <v>13.5</v>
      </c>
      <c r="N73">
        <v>1914</v>
      </c>
    </row>
    <row r="74" spans="1:14" ht="12.75">
      <c r="A74">
        <v>1920</v>
      </c>
      <c r="B74">
        <f t="shared" si="9"/>
        <v>72</v>
      </c>
      <c r="C74">
        <v>0</v>
      </c>
      <c r="D74">
        <v>1</v>
      </c>
      <c r="E74">
        <f>F74+12</f>
        <v>1283</v>
      </c>
      <c r="F74" s="1">
        <f>21*60+11</f>
        <v>1271</v>
      </c>
      <c r="G74">
        <f>SUM(E$3:E74)</f>
        <v>93405</v>
      </c>
      <c r="H74">
        <f>SUM(F$3:F74)</f>
        <v>93390.55</v>
      </c>
      <c r="I74">
        <f t="shared" si="7"/>
        <v>14.44999999999709</v>
      </c>
      <c r="J74" s="1">
        <f t="shared" si="8"/>
        <v>4.8166666666656965</v>
      </c>
      <c r="K74">
        <v>4.25</v>
      </c>
      <c r="M74" s="2">
        <f t="shared" si="10"/>
        <v>12</v>
      </c>
      <c r="N74">
        <v>1920</v>
      </c>
    </row>
    <row r="75" spans="1:14" ht="12.75">
      <c r="A75">
        <v>1921</v>
      </c>
      <c r="B75">
        <f t="shared" si="9"/>
        <v>73</v>
      </c>
      <c r="C75">
        <v>0</v>
      </c>
      <c r="D75">
        <v>1</v>
      </c>
      <c r="E75">
        <f>F75+3</f>
        <v>1188</v>
      </c>
      <c r="F75" s="1">
        <f>19*60+45</f>
        <v>1185</v>
      </c>
      <c r="G75">
        <f>SUM(E$3:E75)</f>
        <v>94593</v>
      </c>
      <c r="H75">
        <f>SUM(F$3:F75)</f>
        <v>94575.55</v>
      </c>
      <c r="I75">
        <f t="shared" si="7"/>
        <v>17.44999999999709</v>
      </c>
      <c r="J75" s="1">
        <f t="shared" si="8"/>
        <v>5.8166666666656965</v>
      </c>
      <c r="K75">
        <v>4.25</v>
      </c>
      <c r="M75" s="2">
        <f t="shared" si="10"/>
        <v>3</v>
      </c>
      <c r="N75">
        <v>1921</v>
      </c>
    </row>
    <row r="76" spans="1:14" ht="12.75">
      <c r="A76">
        <v>1922</v>
      </c>
      <c r="B76">
        <f t="shared" si="9"/>
        <v>74</v>
      </c>
      <c r="C76">
        <v>0</v>
      </c>
      <c r="D76">
        <v>1</v>
      </c>
      <c r="E76">
        <f>F76+4.5*3</f>
        <v>1180.5</v>
      </c>
      <c r="F76" s="1">
        <f>19*60+27</f>
        <v>1167</v>
      </c>
      <c r="G76">
        <f>SUM(E$3:E76)</f>
        <v>95773.5</v>
      </c>
      <c r="H76">
        <f>SUM(F$3:F76)</f>
        <v>95742.55</v>
      </c>
      <c r="I76">
        <f t="shared" si="7"/>
        <v>30.94999999999709</v>
      </c>
      <c r="J76" s="1">
        <f t="shared" si="8"/>
        <v>10.316666666665697</v>
      </c>
      <c r="K76">
        <v>4.25</v>
      </c>
      <c r="M76" s="2">
        <f t="shared" si="10"/>
        <v>13.5</v>
      </c>
      <c r="N76">
        <v>1922</v>
      </c>
    </row>
    <row r="77" spans="1:14" ht="12.75">
      <c r="A77">
        <v>1923</v>
      </c>
      <c r="B77">
        <f t="shared" si="9"/>
        <v>75</v>
      </c>
      <c r="C77">
        <v>1</v>
      </c>
      <c r="D77">
        <v>0</v>
      </c>
      <c r="E77">
        <f>20*60+54</f>
        <v>1254</v>
      </c>
      <c r="F77" s="1">
        <f>E77+0.75*3</f>
        <v>1256.25</v>
      </c>
      <c r="G77">
        <f>SUM(E$3:E77)</f>
        <v>97027.5</v>
      </c>
      <c r="H77">
        <f>SUM(F$3:F77)</f>
        <v>96998.8</v>
      </c>
      <c r="I77">
        <f t="shared" si="7"/>
        <v>28.69999999999709</v>
      </c>
      <c r="J77" s="1">
        <f t="shared" si="8"/>
        <v>9.566666666665697</v>
      </c>
      <c r="K77">
        <v>4.25</v>
      </c>
      <c r="M77" s="2">
        <f t="shared" si="10"/>
        <v>-2.25</v>
      </c>
      <c r="N77">
        <v>1923</v>
      </c>
    </row>
    <row r="78" spans="1:14" ht="12.75">
      <c r="A78">
        <v>1924</v>
      </c>
      <c r="B78">
        <f t="shared" si="9"/>
        <v>76</v>
      </c>
      <c r="C78">
        <v>0</v>
      </c>
      <c r="D78">
        <v>1</v>
      </c>
      <c r="E78">
        <f>F78+4.5*3</f>
        <v>1134.5</v>
      </c>
      <c r="F78" s="1">
        <f>18*60+41</f>
        <v>1121</v>
      </c>
      <c r="G78">
        <f>SUM(E$3:E78)</f>
        <v>98162</v>
      </c>
      <c r="H78">
        <f>SUM(F$3:F78)</f>
        <v>98119.8</v>
      </c>
      <c r="I78">
        <f t="shared" si="7"/>
        <v>42.19999999999709</v>
      </c>
      <c r="J78" s="1">
        <f t="shared" si="8"/>
        <v>14.066666666665697</v>
      </c>
      <c r="K78">
        <v>4.25</v>
      </c>
      <c r="M78" s="2">
        <f t="shared" si="10"/>
        <v>13.5</v>
      </c>
      <c r="N78">
        <v>1924</v>
      </c>
    </row>
    <row r="79" spans="1:14" ht="12.75">
      <c r="A79">
        <v>1925</v>
      </c>
      <c r="B79">
        <f t="shared" si="9"/>
        <v>77</v>
      </c>
      <c r="C79">
        <v>0</v>
      </c>
      <c r="D79">
        <v>1</v>
      </c>
      <c r="E79">
        <v>0</v>
      </c>
      <c r="F79" s="1">
        <v>0</v>
      </c>
      <c r="G79">
        <f>SUM(E$3:E79)</f>
        <v>98162</v>
      </c>
      <c r="H79">
        <f>SUM(F$3:F79)</f>
        <v>98119.8</v>
      </c>
      <c r="I79">
        <f t="shared" si="7"/>
        <v>42.19999999999709</v>
      </c>
      <c r="J79" s="1">
        <f t="shared" si="8"/>
        <v>14.066666666665697</v>
      </c>
      <c r="K79">
        <v>4.25</v>
      </c>
      <c r="L79" t="s">
        <v>14</v>
      </c>
      <c r="M79" s="2">
        <f t="shared" si="10"/>
        <v>0</v>
      </c>
      <c r="N79">
        <v>1925</v>
      </c>
    </row>
    <row r="80" spans="1:14" ht="12.75">
      <c r="A80">
        <v>1926</v>
      </c>
      <c r="B80">
        <f t="shared" si="9"/>
        <v>78</v>
      </c>
      <c r="C80">
        <v>0</v>
      </c>
      <c r="D80">
        <v>1</v>
      </c>
      <c r="E80">
        <f>F80+15</f>
        <v>1184</v>
      </c>
      <c r="F80" s="1">
        <f>19*60+29</f>
        <v>1169</v>
      </c>
      <c r="G80">
        <f>SUM(E$3:E80)</f>
        <v>99346</v>
      </c>
      <c r="H80">
        <f>SUM(F$3:F80)</f>
        <v>99288.8</v>
      </c>
      <c r="I80">
        <f t="shared" si="7"/>
        <v>57.19999999999709</v>
      </c>
      <c r="J80" s="1">
        <f t="shared" si="8"/>
        <v>19.066666666665697</v>
      </c>
      <c r="K80">
        <v>4.25</v>
      </c>
      <c r="M80" s="2">
        <f t="shared" si="10"/>
        <v>15</v>
      </c>
      <c r="N80">
        <v>1926</v>
      </c>
    </row>
    <row r="81" spans="1:14" ht="12.75">
      <c r="A81">
        <v>1927</v>
      </c>
      <c r="B81">
        <f t="shared" si="9"/>
        <v>79</v>
      </c>
      <c r="C81">
        <v>0</v>
      </c>
      <c r="D81">
        <v>1</v>
      </c>
      <c r="E81">
        <f>F81+9</f>
        <v>1223</v>
      </c>
      <c r="F81" s="1">
        <f>20*60+14</f>
        <v>1214</v>
      </c>
      <c r="G81">
        <f>SUM(E$3:E81)</f>
        <v>100569</v>
      </c>
      <c r="H81">
        <f>SUM(F$3:F81)</f>
        <v>100502.8</v>
      </c>
      <c r="I81">
        <f t="shared" si="7"/>
        <v>66.19999999999709</v>
      </c>
      <c r="J81" s="1">
        <f t="shared" si="8"/>
        <v>22.066666666665697</v>
      </c>
      <c r="K81">
        <v>4.25</v>
      </c>
      <c r="M81" s="2">
        <f t="shared" si="10"/>
        <v>9</v>
      </c>
      <c r="N81">
        <v>1927</v>
      </c>
    </row>
    <row r="82" spans="1:14" ht="12.75">
      <c r="A82">
        <v>1928</v>
      </c>
      <c r="B82">
        <f t="shared" si="9"/>
        <v>80</v>
      </c>
      <c r="C82">
        <v>0</v>
      </c>
      <c r="D82">
        <v>1</v>
      </c>
      <c r="E82">
        <f>F82+30</f>
        <v>1255</v>
      </c>
      <c r="F82" s="1">
        <f>20*60+25</f>
        <v>1225</v>
      </c>
      <c r="G82">
        <f>SUM(E$3:E82)</f>
        <v>101824</v>
      </c>
      <c r="H82">
        <f>SUM(F$3:F82)</f>
        <v>101727.8</v>
      </c>
      <c r="I82">
        <f t="shared" si="7"/>
        <v>96.19999999999709</v>
      </c>
      <c r="J82" s="1">
        <f t="shared" si="8"/>
        <v>32.0666666666657</v>
      </c>
      <c r="K82">
        <v>4.25</v>
      </c>
      <c r="M82" s="2">
        <f t="shared" si="10"/>
        <v>30</v>
      </c>
      <c r="N82">
        <v>1928</v>
      </c>
    </row>
    <row r="83" spans="1:14" ht="12.75">
      <c r="A83">
        <v>1929</v>
      </c>
      <c r="B83">
        <f t="shared" si="9"/>
        <v>81</v>
      </c>
      <c r="C83">
        <v>0</v>
      </c>
      <c r="D83">
        <v>1</v>
      </c>
      <c r="E83">
        <f>F83+21</f>
        <v>1185</v>
      </c>
      <c r="F83" s="1">
        <f>19*60+24</f>
        <v>1164</v>
      </c>
      <c r="G83">
        <f>SUM(E$3:E83)</f>
        <v>103009</v>
      </c>
      <c r="H83">
        <f>SUM(F$3:F83)</f>
        <v>102891.8</v>
      </c>
      <c r="I83">
        <f t="shared" si="7"/>
        <v>117.19999999999709</v>
      </c>
      <c r="J83" s="1">
        <f t="shared" si="8"/>
        <v>39.0666666666657</v>
      </c>
      <c r="K83">
        <v>4.25</v>
      </c>
      <c r="M83" s="2">
        <f t="shared" si="10"/>
        <v>21</v>
      </c>
      <c r="N83">
        <v>1929</v>
      </c>
    </row>
    <row r="84" spans="1:14" ht="12.75">
      <c r="A84">
        <v>1930</v>
      </c>
      <c r="B84">
        <f t="shared" si="9"/>
        <v>82</v>
      </c>
      <c r="C84">
        <v>0</v>
      </c>
      <c r="D84">
        <v>1</v>
      </c>
      <c r="E84">
        <f>F84+9</f>
        <v>1158</v>
      </c>
      <c r="F84" s="1">
        <f>19*60+9</f>
        <v>1149</v>
      </c>
      <c r="G84">
        <f>SUM(E$3:E84)</f>
        <v>104167</v>
      </c>
      <c r="H84">
        <f>SUM(F$3:F84)</f>
        <v>104040.8</v>
      </c>
      <c r="I84">
        <f t="shared" si="7"/>
        <v>126.19999999999709</v>
      </c>
      <c r="J84" s="1">
        <f t="shared" si="8"/>
        <v>42.0666666666657</v>
      </c>
      <c r="K84">
        <v>4.25</v>
      </c>
      <c r="M84" s="2">
        <f t="shared" si="10"/>
        <v>9</v>
      </c>
      <c r="N84">
        <v>1930</v>
      </c>
    </row>
    <row r="85" spans="1:14" ht="12.75">
      <c r="A85">
        <v>1931</v>
      </c>
      <c r="B85">
        <f t="shared" si="9"/>
        <v>83</v>
      </c>
      <c r="C85">
        <v>0</v>
      </c>
      <c r="D85">
        <v>1</v>
      </c>
      <c r="E85">
        <f>F85+2.5*3</f>
        <v>1173.5</v>
      </c>
      <c r="F85" s="1">
        <f>19*60+26</f>
        <v>1166</v>
      </c>
      <c r="G85">
        <f>SUM(E$3:E85)</f>
        <v>105340.5</v>
      </c>
      <c r="H85">
        <f>SUM(F$3:F85)</f>
        <v>105206.8</v>
      </c>
      <c r="I85">
        <f t="shared" si="7"/>
        <v>133.6999999999971</v>
      </c>
      <c r="J85" s="1">
        <f t="shared" si="8"/>
        <v>44.5666666666657</v>
      </c>
      <c r="K85">
        <v>4.25</v>
      </c>
      <c r="M85" s="2">
        <f t="shared" si="10"/>
        <v>7.5</v>
      </c>
      <c r="N85">
        <v>1931</v>
      </c>
    </row>
    <row r="86" spans="1:14" ht="12.75">
      <c r="A86">
        <v>1932</v>
      </c>
      <c r="B86">
        <f t="shared" si="9"/>
        <v>84</v>
      </c>
      <c r="C86">
        <v>0</v>
      </c>
      <c r="D86">
        <v>1</v>
      </c>
      <c r="E86">
        <f>F86+15</f>
        <v>1166</v>
      </c>
      <c r="F86" s="1">
        <f>19*60+11</f>
        <v>1151</v>
      </c>
      <c r="G86">
        <f>SUM(E$3:E86)</f>
        <v>106506.5</v>
      </c>
      <c r="H86">
        <f>SUM(F$3:F86)</f>
        <v>106357.8</v>
      </c>
      <c r="I86">
        <f t="shared" si="7"/>
        <v>148.6999999999971</v>
      </c>
      <c r="J86" s="1">
        <f t="shared" si="8"/>
        <v>49.5666666666657</v>
      </c>
      <c r="K86">
        <v>4.25</v>
      </c>
      <c r="M86" s="2">
        <f t="shared" si="10"/>
        <v>15</v>
      </c>
      <c r="N86">
        <v>1932</v>
      </c>
    </row>
    <row r="87" spans="1:14" ht="12.75">
      <c r="A87">
        <v>1933</v>
      </c>
      <c r="B87">
        <f t="shared" si="9"/>
        <v>85</v>
      </c>
      <c r="C87">
        <v>0</v>
      </c>
      <c r="D87">
        <v>1</v>
      </c>
      <c r="E87">
        <f>F87+2.25*3</f>
        <v>1263.75</v>
      </c>
      <c r="F87" s="1">
        <f>20*60+57</f>
        <v>1257</v>
      </c>
      <c r="G87">
        <f>SUM(E$3:E87)</f>
        <v>107770.25</v>
      </c>
      <c r="H87">
        <f>SUM(F$3:F87)</f>
        <v>107614.8</v>
      </c>
      <c r="I87">
        <f t="shared" si="7"/>
        <v>155.4499999999971</v>
      </c>
      <c r="J87" s="1">
        <f t="shared" si="8"/>
        <v>51.8166666666657</v>
      </c>
      <c r="K87">
        <v>4.25</v>
      </c>
      <c r="M87" s="2">
        <f>E87-F87</f>
        <v>6.75</v>
      </c>
      <c r="N87">
        <v>1933</v>
      </c>
    </row>
    <row r="88" spans="1:14" ht="12.75">
      <c r="A88">
        <v>1934</v>
      </c>
      <c r="B88">
        <f t="shared" si="9"/>
        <v>86</v>
      </c>
      <c r="C88">
        <v>0</v>
      </c>
      <c r="D88">
        <v>1</v>
      </c>
      <c r="E88">
        <f>F88+4.25*3</f>
        <v>1095.75</v>
      </c>
      <c r="F88" s="1">
        <f>18*60+3</f>
        <v>1083</v>
      </c>
      <c r="G88">
        <f>SUM(E$3:E88)</f>
        <v>108866</v>
      </c>
      <c r="H88">
        <f>SUM(F$3:F88)</f>
        <v>108697.8</v>
      </c>
      <c r="I88">
        <f t="shared" si="7"/>
        <v>168.1999999999971</v>
      </c>
      <c r="J88" s="1">
        <f t="shared" si="8"/>
        <v>56.0666666666657</v>
      </c>
      <c r="K88">
        <v>4.25</v>
      </c>
      <c r="M88" s="2">
        <f aca="true" t="shared" si="11" ref="M88:M128">E88-F88</f>
        <v>12.75</v>
      </c>
      <c r="N88">
        <v>1934</v>
      </c>
    </row>
    <row r="89" spans="1:14" ht="12.75">
      <c r="A89">
        <v>1935</v>
      </c>
      <c r="B89">
        <f t="shared" si="9"/>
        <v>87</v>
      </c>
      <c r="C89">
        <v>0</v>
      </c>
      <c r="D89">
        <v>1</v>
      </c>
      <c r="E89">
        <f>F89+4.5*3</f>
        <v>1201.5</v>
      </c>
      <c r="F89" s="1">
        <f>19*60+48</f>
        <v>1188</v>
      </c>
      <c r="G89">
        <f>SUM(E$3:E89)</f>
        <v>110067.5</v>
      </c>
      <c r="H89">
        <f>SUM(F$3:F89)</f>
        <v>109885.8</v>
      </c>
      <c r="I89">
        <f t="shared" si="7"/>
        <v>181.6999999999971</v>
      </c>
      <c r="J89" s="1">
        <f t="shared" si="8"/>
        <v>60.5666666666657</v>
      </c>
      <c r="K89">
        <v>4.25</v>
      </c>
      <c r="M89" s="2">
        <f t="shared" si="11"/>
        <v>13.5</v>
      </c>
      <c r="N89">
        <v>1935</v>
      </c>
    </row>
    <row r="90" spans="1:14" ht="12.75">
      <c r="A90">
        <v>1936</v>
      </c>
      <c r="B90">
        <f t="shared" si="9"/>
        <v>88</v>
      </c>
      <c r="C90">
        <v>0</v>
      </c>
      <c r="D90">
        <v>1</v>
      </c>
      <c r="E90">
        <f>F90+15</f>
        <v>1281</v>
      </c>
      <c r="F90" s="1">
        <f>21*60+6</f>
        <v>1266</v>
      </c>
      <c r="G90">
        <f>SUM(E$3:E90)</f>
        <v>111348.5</v>
      </c>
      <c r="H90">
        <f>SUM(F$3:F90)</f>
        <v>111151.8</v>
      </c>
      <c r="I90">
        <f t="shared" si="7"/>
        <v>196.6999999999971</v>
      </c>
      <c r="J90" s="1">
        <f t="shared" si="8"/>
        <v>65.5666666666657</v>
      </c>
      <c r="K90">
        <v>4.25</v>
      </c>
      <c r="M90" s="2">
        <f t="shared" si="11"/>
        <v>15</v>
      </c>
      <c r="N90">
        <v>1936</v>
      </c>
    </row>
    <row r="91" spans="1:14" ht="12.75">
      <c r="A91">
        <v>1937</v>
      </c>
      <c r="B91">
        <f t="shared" si="9"/>
        <v>89</v>
      </c>
      <c r="C91">
        <v>1</v>
      </c>
      <c r="D91">
        <v>0</v>
      </c>
      <c r="E91">
        <f>22*60+39</f>
        <v>1359</v>
      </c>
      <c r="F91" s="1">
        <f>E91+9</f>
        <v>1368</v>
      </c>
      <c r="G91">
        <f>SUM(E$3:E91)</f>
        <v>112707.5</v>
      </c>
      <c r="H91">
        <f>SUM(F$3:F91)</f>
        <v>112519.8</v>
      </c>
      <c r="I91">
        <f t="shared" si="7"/>
        <v>187.6999999999971</v>
      </c>
      <c r="J91" s="1">
        <f t="shared" si="8"/>
        <v>62.5666666666657</v>
      </c>
      <c r="K91">
        <v>4.25</v>
      </c>
      <c r="M91" s="2">
        <f t="shared" si="11"/>
        <v>-9</v>
      </c>
      <c r="N91">
        <v>1937</v>
      </c>
    </row>
    <row r="92" spans="1:14" ht="12.75">
      <c r="A92">
        <v>1938</v>
      </c>
      <c r="B92">
        <f t="shared" si="9"/>
        <v>90</v>
      </c>
      <c r="C92">
        <v>1</v>
      </c>
      <c r="D92">
        <v>0</v>
      </c>
      <c r="E92">
        <f>20*60+30</f>
        <v>1230</v>
      </c>
      <c r="F92" s="1">
        <f>E92+6</f>
        <v>1236</v>
      </c>
      <c r="G92">
        <f>SUM(E$3:E92)</f>
        <v>113937.5</v>
      </c>
      <c r="H92">
        <f>SUM(F$3:F92)</f>
        <v>113755.8</v>
      </c>
      <c r="I92">
        <f t="shared" si="7"/>
        <v>181.6999999999971</v>
      </c>
      <c r="J92" s="1">
        <f t="shared" si="8"/>
        <v>60.5666666666657</v>
      </c>
      <c r="K92">
        <v>4.25</v>
      </c>
      <c r="M92" s="2">
        <f t="shared" si="11"/>
        <v>-6</v>
      </c>
      <c r="N92">
        <v>1938</v>
      </c>
    </row>
    <row r="93" spans="1:14" ht="12.75">
      <c r="A93">
        <v>1939</v>
      </c>
      <c r="B93">
        <f t="shared" si="9"/>
        <v>91</v>
      </c>
      <c r="C93">
        <v>0</v>
      </c>
      <c r="D93">
        <v>1</v>
      </c>
      <c r="E93">
        <f>F93+12</f>
        <v>1155</v>
      </c>
      <c r="F93" s="1">
        <f>19*60+3</f>
        <v>1143</v>
      </c>
      <c r="G93">
        <f>SUM(E$3:E93)</f>
        <v>115092.5</v>
      </c>
      <c r="H93">
        <f>SUM(F$3:F93)</f>
        <v>114898.8</v>
      </c>
      <c r="I93">
        <f t="shared" si="7"/>
        <v>193.6999999999971</v>
      </c>
      <c r="J93" s="1">
        <f t="shared" si="8"/>
        <v>64.5666666666657</v>
      </c>
      <c r="K93">
        <v>4.25</v>
      </c>
      <c r="M93" s="2">
        <f t="shared" si="11"/>
        <v>12</v>
      </c>
      <c r="N93">
        <v>1939</v>
      </c>
    </row>
    <row r="94" spans="1:14" ht="12.75">
      <c r="A94">
        <v>1946</v>
      </c>
      <c r="B94">
        <f t="shared" si="9"/>
        <v>92</v>
      </c>
      <c r="C94">
        <v>1</v>
      </c>
      <c r="D94">
        <v>0</v>
      </c>
      <c r="E94">
        <f>19*60+54</f>
        <v>1194</v>
      </c>
      <c r="F94" s="1">
        <f>E94+9</f>
        <v>1203</v>
      </c>
      <c r="G94">
        <f>SUM(E$3:E94)</f>
        <v>116286.5</v>
      </c>
      <c r="H94">
        <f>SUM(F$3:F94)</f>
        <v>116101.8</v>
      </c>
      <c r="I94">
        <f t="shared" si="7"/>
        <v>184.6999999999971</v>
      </c>
      <c r="J94" s="1">
        <f t="shared" si="8"/>
        <v>61.5666666666657</v>
      </c>
      <c r="K94">
        <v>4.25</v>
      </c>
      <c r="M94" s="2">
        <f t="shared" si="11"/>
        <v>-9</v>
      </c>
      <c r="N94">
        <v>1946</v>
      </c>
    </row>
    <row r="95" spans="1:14" ht="12.75">
      <c r="A95">
        <v>1947</v>
      </c>
      <c r="B95">
        <f t="shared" si="9"/>
        <v>93</v>
      </c>
      <c r="C95">
        <v>0</v>
      </c>
      <c r="D95">
        <v>1</v>
      </c>
      <c r="E95">
        <f>F95+30</f>
        <v>1411</v>
      </c>
      <c r="F95" s="1">
        <f>23*60+1</f>
        <v>1381</v>
      </c>
      <c r="G95">
        <f>SUM(E$3:E95)</f>
        <v>117697.5</v>
      </c>
      <c r="H95">
        <f>SUM(F$3:F95)</f>
        <v>117482.8</v>
      </c>
      <c r="I95">
        <f t="shared" si="7"/>
        <v>214.6999999999971</v>
      </c>
      <c r="J95" s="1">
        <f t="shared" si="8"/>
        <v>71.5666666666657</v>
      </c>
      <c r="K95">
        <v>4.25</v>
      </c>
      <c r="M95" s="2">
        <f t="shared" si="11"/>
        <v>30</v>
      </c>
      <c r="N95">
        <v>1947</v>
      </c>
    </row>
    <row r="96" spans="1:14" ht="12.75">
      <c r="A96">
        <v>1948</v>
      </c>
      <c r="B96">
        <f t="shared" si="9"/>
        <v>94</v>
      </c>
      <c r="C96">
        <v>0</v>
      </c>
      <c r="D96">
        <v>1</v>
      </c>
      <c r="E96">
        <f>F96+15</f>
        <v>1085</v>
      </c>
      <c r="F96" s="1">
        <f>17*60+50</f>
        <v>1070</v>
      </c>
      <c r="G96">
        <f>SUM(E$3:E96)</f>
        <v>118782.5</v>
      </c>
      <c r="H96">
        <f>SUM(F$3:F96)</f>
        <v>118552.8</v>
      </c>
      <c r="I96">
        <f t="shared" si="7"/>
        <v>229.6999999999971</v>
      </c>
      <c r="J96" s="1">
        <f t="shared" si="8"/>
        <v>76.5666666666657</v>
      </c>
      <c r="K96">
        <v>4.25</v>
      </c>
      <c r="M96" s="2">
        <f t="shared" si="11"/>
        <v>15</v>
      </c>
      <c r="N96">
        <v>1948</v>
      </c>
    </row>
    <row r="97" spans="1:14" ht="12.75">
      <c r="A97">
        <v>1949</v>
      </c>
      <c r="B97">
        <f t="shared" si="9"/>
        <v>95</v>
      </c>
      <c r="C97">
        <v>0</v>
      </c>
      <c r="D97">
        <v>1</v>
      </c>
      <c r="E97">
        <f>F97+0.25*3</f>
        <v>1137.75</v>
      </c>
      <c r="F97" s="1">
        <f>18*60+57</f>
        <v>1137</v>
      </c>
      <c r="G97">
        <f>SUM(E$3:E97)</f>
        <v>119920.25</v>
      </c>
      <c r="H97">
        <f>SUM(F$3:F97)</f>
        <v>119689.8</v>
      </c>
      <c r="I97">
        <f t="shared" si="7"/>
        <v>230.4499999999971</v>
      </c>
      <c r="J97" s="1">
        <f t="shared" si="8"/>
        <v>76.8166666666657</v>
      </c>
      <c r="K97">
        <v>4.25</v>
      </c>
      <c r="M97" s="2">
        <f t="shared" si="11"/>
        <v>0.75</v>
      </c>
      <c r="N97">
        <v>1949</v>
      </c>
    </row>
    <row r="98" spans="1:14" ht="12.75">
      <c r="A98">
        <v>1950</v>
      </c>
      <c r="B98">
        <f t="shared" si="9"/>
        <v>96</v>
      </c>
      <c r="C98">
        <v>0</v>
      </c>
      <c r="D98">
        <v>1</v>
      </c>
      <c r="E98">
        <f>F98+3.5*3</f>
        <v>1225.5</v>
      </c>
      <c r="F98" s="1">
        <f>20*60+15</f>
        <v>1215</v>
      </c>
      <c r="G98">
        <f>SUM(E$3:E98)</f>
        <v>121145.75</v>
      </c>
      <c r="H98">
        <f>SUM(F$3:F98)</f>
        <v>120904.8</v>
      </c>
      <c r="I98">
        <f t="shared" si="7"/>
        <v>240.9499999999971</v>
      </c>
      <c r="J98" s="1">
        <f t="shared" si="8"/>
        <v>80.3166666666657</v>
      </c>
      <c r="K98">
        <v>4.25</v>
      </c>
      <c r="M98" s="2">
        <f t="shared" si="11"/>
        <v>10.5</v>
      </c>
      <c r="N98">
        <v>1950</v>
      </c>
    </row>
    <row r="99" spans="1:14" ht="12.75">
      <c r="A99">
        <v>1951</v>
      </c>
      <c r="B99">
        <f t="shared" si="9"/>
        <v>97</v>
      </c>
      <c r="C99">
        <v>0</v>
      </c>
      <c r="D99">
        <v>1</v>
      </c>
      <c r="E99">
        <f>F99+36</f>
        <v>1286</v>
      </c>
      <c r="F99" s="1">
        <f>20*60+50</f>
        <v>1250</v>
      </c>
      <c r="G99">
        <f>SUM(E$3:E99)</f>
        <v>122431.75</v>
      </c>
      <c r="H99">
        <f>SUM(F$3:F99)</f>
        <v>122154.8</v>
      </c>
      <c r="I99">
        <f aca="true" t="shared" si="12" ref="I99:I130">G99-H99</f>
        <v>276.9499999999971</v>
      </c>
      <c r="J99" s="1">
        <f aca="true" t="shared" si="13" ref="J99:J130">I99/3</f>
        <v>92.3166666666657</v>
      </c>
      <c r="K99">
        <v>4.25</v>
      </c>
      <c r="M99" s="2">
        <f t="shared" si="11"/>
        <v>36</v>
      </c>
      <c r="N99">
        <v>1951</v>
      </c>
    </row>
    <row r="100" spans="1:14" ht="12.75">
      <c r="A100">
        <v>1952</v>
      </c>
      <c r="B100">
        <f aca="true" t="shared" si="14" ref="B100:B131">B99+1</f>
        <v>98</v>
      </c>
      <c r="C100">
        <v>1</v>
      </c>
      <c r="D100">
        <v>0</v>
      </c>
      <c r="E100">
        <f>20*60+23</f>
        <v>1223</v>
      </c>
      <c r="F100" s="1">
        <f>E100+1</f>
        <v>1224</v>
      </c>
      <c r="G100">
        <f>SUM(E$3:E100)</f>
        <v>123654.75</v>
      </c>
      <c r="H100">
        <f>SUM(F$3:F100)</f>
        <v>123378.8</v>
      </c>
      <c r="I100">
        <f t="shared" si="12"/>
        <v>275.9499999999971</v>
      </c>
      <c r="J100" s="1">
        <f t="shared" si="13"/>
        <v>91.98333333333237</v>
      </c>
      <c r="K100">
        <v>4.25</v>
      </c>
      <c r="M100" s="2">
        <f t="shared" si="11"/>
        <v>-1</v>
      </c>
      <c r="N100">
        <v>1952</v>
      </c>
    </row>
    <row r="101" spans="1:14" ht="12.75">
      <c r="A101">
        <v>1953</v>
      </c>
      <c r="B101">
        <f t="shared" si="14"/>
        <v>99</v>
      </c>
      <c r="C101">
        <v>0</v>
      </c>
      <c r="D101">
        <v>1</v>
      </c>
      <c r="E101">
        <f>F101+24</f>
        <v>1218</v>
      </c>
      <c r="F101" s="1">
        <f>19*60+54</f>
        <v>1194</v>
      </c>
      <c r="G101">
        <f>SUM(E$3:E101)</f>
        <v>124872.75</v>
      </c>
      <c r="H101">
        <f>SUM(F$3:F101)</f>
        <v>124572.8</v>
      </c>
      <c r="I101">
        <f t="shared" si="12"/>
        <v>299.9499999999971</v>
      </c>
      <c r="J101" s="1">
        <f t="shared" si="13"/>
        <v>99.98333333333237</v>
      </c>
      <c r="K101">
        <v>4.25</v>
      </c>
      <c r="M101" s="2">
        <f t="shared" si="11"/>
        <v>24</v>
      </c>
      <c r="N101">
        <v>1953</v>
      </c>
    </row>
    <row r="102" spans="1:14" ht="12.75">
      <c r="A102">
        <v>1954</v>
      </c>
      <c r="B102">
        <f t="shared" si="14"/>
        <v>100</v>
      </c>
      <c r="C102">
        <v>1</v>
      </c>
      <c r="D102">
        <v>0</v>
      </c>
      <c r="E102">
        <f>20*60+23</f>
        <v>1223</v>
      </c>
      <c r="F102" s="1">
        <f>E102+4.5*3</f>
        <v>1236.5</v>
      </c>
      <c r="G102">
        <f>SUM(E$3:E102)</f>
        <v>126095.75</v>
      </c>
      <c r="H102">
        <f>SUM(F$3:F102)</f>
        <v>125809.3</v>
      </c>
      <c r="I102">
        <f t="shared" si="12"/>
        <v>286.4499999999971</v>
      </c>
      <c r="J102" s="1">
        <f t="shared" si="13"/>
        <v>95.48333333333237</v>
      </c>
      <c r="K102">
        <v>4.25</v>
      </c>
      <c r="M102" s="2">
        <f t="shared" si="11"/>
        <v>-13.5</v>
      </c>
      <c r="N102">
        <v>1954</v>
      </c>
    </row>
    <row r="103" spans="1:14" ht="12.75">
      <c r="A103">
        <v>1955</v>
      </c>
      <c r="B103">
        <f t="shared" si="14"/>
        <v>101</v>
      </c>
      <c r="C103">
        <v>0</v>
      </c>
      <c r="D103">
        <v>1</v>
      </c>
      <c r="E103">
        <f>F103+16*3</f>
        <v>1198</v>
      </c>
      <c r="F103" s="1">
        <f>19*60+10</f>
        <v>1150</v>
      </c>
      <c r="G103">
        <f>SUM(E$3:E103)</f>
        <v>127293.75</v>
      </c>
      <c r="H103">
        <f>SUM(F$3:F103)</f>
        <v>126959.3</v>
      </c>
      <c r="I103">
        <f t="shared" si="12"/>
        <v>334.4499999999971</v>
      </c>
      <c r="J103" s="1">
        <f t="shared" si="13"/>
        <v>111.48333333333237</v>
      </c>
      <c r="K103">
        <v>4.25</v>
      </c>
      <c r="M103" s="2">
        <f t="shared" si="11"/>
        <v>48</v>
      </c>
      <c r="N103">
        <v>1955</v>
      </c>
    </row>
    <row r="104" spans="1:14" ht="12.75">
      <c r="A104">
        <v>1956</v>
      </c>
      <c r="B104">
        <f t="shared" si="14"/>
        <v>102</v>
      </c>
      <c r="C104">
        <v>0</v>
      </c>
      <c r="D104">
        <v>1</v>
      </c>
      <c r="E104">
        <f>F104+1.25*3</f>
        <v>1119.75</v>
      </c>
      <c r="F104" s="1">
        <f>18*60+36</f>
        <v>1116</v>
      </c>
      <c r="G104">
        <f>SUM(E$3:E104)</f>
        <v>128413.5</v>
      </c>
      <c r="H104">
        <f>SUM(F$3:F104)</f>
        <v>128075.3</v>
      </c>
      <c r="I104">
        <f t="shared" si="12"/>
        <v>338.1999999999971</v>
      </c>
      <c r="J104" s="1">
        <f t="shared" si="13"/>
        <v>112.73333333333237</v>
      </c>
      <c r="K104">
        <v>4.25</v>
      </c>
      <c r="M104" s="2">
        <f t="shared" si="11"/>
        <v>3.75</v>
      </c>
      <c r="N104">
        <v>1956</v>
      </c>
    </row>
    <row r="105" spans="1:14" ht="12.75">
      <c r="A105">
        <v>1957</v>
      </c>
      <c r="B105">
        <f t="shared" si="14"/>
        <v>103</v>
      </c>
      <c r="C105">
        <v>0</v>
      </c>
      <c r="D105">
        <v>1</v>
      </c>
      <c r="E105">
        <f>F105+6</f>
        <v>1147</v>
      </c>
      <c r="F105" s="1">
        <f>19*60+1</f>
        <v>1141</v>
      </c>
      <c r="G105">
        <f>SUM(E$3:E105)</f>
        <v>129560.5</v>
      </c>
      <c r="H105">
        <f>SUM(F$3:F105)</f>
        <v>129216.3</v>
      </c>
      <c r="I105">
        <f t="shared" si="12"/>
        <v>344.1999999999971</v>
      </c>
      <c r="J105" s="1">
        <f t="shared" si="13"/>
        <v>114.73333333333237</v>
      </c>
      <c r="K105">
        <v>4.25</v>
      </c>
      <c r="M105" s="2">
        <f t="shared" si="11"/>
        <v>6</v>
      </c>
      <c r="N105">
        <v>1957</v>
      </c>
    </row>
    <row r="106" spans="1:14" ht="12.75">
      <c r="A106">
        <v>1958</v>
      </c>
      <c r="B106">
        <f t="shared" si="14"/>
        <v>104</v>
      </c>
      <c r="C106">
        <v>0</v>
      </c>
      <c r="D106">
        <v>1</v>
      </c>
      <c r="E106">
        <f>F106+3.5*3</f>
        <v>1105.5</v>
      </c>
      <c r="F106" s="1">
        <f>18*60+15</f>
        <v>1095</v>
      </c>
      <c r="G106">
        <f>SUM(E$3:E106)</f>
        <v>130666</v>
      </c>
      <c r="H106">
        <f>SUM(F$3:F106)</f>
        <v>130311.3</v>
      </c>
      <c r="I106">
        <f t="shared" si="12"/>
        <v>354.6999999999971</v>
      </c>
      <c r="J106" s="1">
        <f t="shared" si="13"/>
        <v>118.23333333333237</v>
      </c>
      <c r="K106">
        <v>4.25</v>
      </c>
      <c r="M106" s="2">
        <f t="shared" si="11"/>
        <v>10.5</v>
      </c>
      <c r="N106">
        <v>1958</v>
      </c>
    </row>
    <row r="107" spans="1:14" ht="12.75">
      <c r="A107">
        <v>1959</v>
      </c>
      <c r="B107">
        <f t="shared" si="14"/>
        <v>105</v>
      </c>
      <c r="C107">
        <v>1</v>
      </c>
      <c r="D107">
        <v>0</v>
      </c>
      <c r="E107">
        <f>18*60+52</f>
        <v>1132</v>
      </c>
      <c r="F107" s="1">
        <f>E107+18</f>
        <v>1150</v>
      </c>
      <c r="G107">
        <f>SUM(E$3:E107)</f>
        <v>131798</v>
      </c>
      <c r="H107">
        <f>SUM(F$3:F107)</f>
        <v>131461.3</v>
      </c>
      <c r="I107">
        <f t="shared" si="12"/>
        <v>336.70000000001164</v>
      </c>
      <c r="J107" s="1">
        <f t="shared" si="13"/>
        <v>112.23333333333721</v>
      </c>
      <c r="K107">
        <v>4.25</v>
      </c>
      <c r="M107" s="2">
        <f t="shared" si="11"/>
        <v>-18</v>
      </c>
      <c r="N107">
        <v>1959</v>
      </c>
    </row>
    <row r="108" spans="1:14" ht="12.75">
      <c r="A108">
        <v>1960</v>
      </c>
      <c r="B108">
        <f t="shared" si="14"/>
        <v>106</v>
      </c>
      <c r="C108">
        <v>1</v>
      </c>
      <c r="D108">
        <v>0</v>
      </c>
      <c r="E108">
        <f>18*60+59</f>
        <v>1139</v>
      </c>
      <c r="F108" s="1">
        <f>E108+1.25*3</f>
        <v>1142.75</v>
      </c>
      <c r="G108">
        <f>SUM(E$3:E108)</f>
        <v>132937</v>
      </c>
      <c r="H108">
        <f>SUM(F$3:F108)</f>
        <v>132604.05</v>
      </c>
      <c r="I108">
        <f t="shared" si="12"/>
        <v>332.95000000001164</v>
      </c>
      <c r="J108" s="1">
        <f t="shared" si="13"/>
        <v>110.98333333333721</v>
      </c>
      <c r="K108">
        <v>4.25</v>
      </c>
      <c r="M108" s="2">
        <f t="shared" si="11"/>
        <v>-3.75</v>
      </c>
      <c r="N108">
        <v>1960</v>
      </c>
    </row>
    <row r="109" spans="1:14" ht="12.75">
      <c r="A109">
        <v>1961</v>
      </c>
      <c r="B109">
        <f t="shared" si="14"/>
        <v>107</v>
      </c>
      <c r="C109">
        <v>0</v>
      </c>
      <c r="D109">
        <v>1</v>
      </c>
      <c r="E109">
        <f>F109+4.25*3</f>
        <v>1174.75</v>
      </c>
      <c r="F109" s="1">
        <f>19*60+22</f>
        <v>1162</v>
      </c>
      <c r="G109">
        <f>SUM(E$3:E109)</f>
        <v>134111.75</v>
      </c>
      <c r="H109">
        <f>SUM(F$3:F109)</f>
        <v>133766.05</v>
      </c>
      <c r="I109">
        <f t="shared" si="12"/>
        <v>345.70000000001164</v>
      </c>
      <c r="J109" s="1">
        <f t="shared" si="13"/>
        <v>115.23333333333721</v>
      </c>
      <c r="K109">
        <v>4.25</v>
      </c>
      <c r="M109" s="2">
        <f t="shared" si="11"/>
        <v>12.75</v>
      </c>
      <c r="N109">
        <v>1961</v>
      </c>
    </row>
    <row r="110" spans="1:14" ht="12.75">
      <c r="A110">
        <v>1962</v>
      </c>
      <c r="B110">
        <f t="shared" si="14"/>
        <v>108</v>
      </c>
      <c r="C110">
        <v>0</v>
      </c>
      <c r="D110">
        <v>1</v>
      </c>
      <c r="E110">
        <f>F110+15</f>
        <v>1201</v>
      </c>
      <c r="F110" s="1">
        <f>19*60+46</f>
        <v>1186</v>
      </c>
      <c r="G110">
        <f>SUM(E$3:E110)</f>
        <v>135312.75</v>
      </c>
      <c r="H110">
        <f>SUM(F$3:F110)</f>
        <v>134952.05</v>
      </c>
      <c r="I110">
        <f t="shared" si="12"/>
        <v>360.70000000001164</v>
      </c>
      <c r="J110" s="1">
        <f t="shared" si="13"/>
        <v>120.23333333333721</v>
      </c>
      <c r="K110">
        <v>4.25</v>
      </c>
      <c r="M110" s="2">
        <f t="shared" si="11"/>
        <v>15</v>
      </c>
      <c r="N110">
        <v>1962</v>
      </c>
    </row>
    <row r="111" spans="1:14" ht="12.75">
      <c r="A111">
        <v>1963</v>
      </c>
      <c r="B111">
        <f t="shared" si="14"/>
        <v>109</v>
      </c>
      <c r="C111">
        <v>1</v>
      </c>
      <c r="D111">
        <v>0</v>
      </c>
      <c r="E111">
        <f>20*60+47</f>
        <v>1247</v>
      </c>
      <c r="F111" s="1">
        <f>E111+15</f>
        <v>1262</v>
      </c>
      <c r="G111">
        <f>SUM(E$3:E111)</f>
        <v>136559.75</v>
      </c>
      <c r="H111">
        <f>SUM(F$3:F111)</f>
        <v>136214.05</v>
      </c>
      <c r="I111">
        <f t="shared" si="12"/>
        <v>345.70000000001164</v>
      </c>
      <c r="J111" s="1">
        <f t="shared" si="13"/>
        <v>115.23333333333721</v>
      </c>
      <c r="K111">
        <v>4.25</v>
      </c>
      <c r="M111" s="2">
        <f t="shared" si="11"/>
        <v>-15</v>
      </c>
      <c r="N111">
        <v>1963</v>
      </c>
    </row>
    <row r="112" spans="1:14" ht="12.75">
      <c r="A112">
        <v>1964</v>
      </c>
      <c r="B112">
        <f t="shared" si="14"/>
        <v>110</v>
      </c>
      <c r="C112">
        <v>0</v>
      </c>
      <c r="D112">
        <v>1</v>
      </c>
      <c r="E112">
        <f>F112+6.5*3</f>
        <v>1177.5</v>
      </c>
      <c r="F112" s="1">
        <f>19*60+18</f>
        <v>1158</v>
      </c>
      <c r="G112">
        <f>SUM(E$3:E112)</f>
        <v>137737.25</v>
      </c>
      <c r="H112">
        <f>SUM(F$3:F112)</f>
        <v>137372.05</v>
      </c>
      <c r="I112">
        <f t="shared" si="12"/>
        <v>365.20000000001164</v>
      </c>
      <c r="J112" s="1">
        <f t="shared" si="13"/>
        <v>121.73333333333721</v>
      </c>
      <c r="K112">
        <v>4.25</v>
      </c>
      <c r="M112" s="2">
        <f t="shared" si="11"/>
        <v>19.5</v>
      </c>
      <c r="N112">
        <v>1964</v>
      </c>
    </row>
    <row r="113" spans="1:14" ht="12.75">
      <c r="A113">
        <v>1965</v>
      </c>
      <c r="B113">
        <f t="shared" si="14"/>
        <v>111</v>
      </c>
      <c r="C113">
        <v>1</v>
      </c>
      <c r="D113">
        <v>0</v>
      </c>
      <c r="E113">
        <f>18*60+7</f>
        <v>1087</v>
      </c>
      <c r="F113" s="1">
        <f>E113+12</f>
        <v>1099</v>
      </c>
      <c r="G113">
        <f>SUM(E$3:E113)</f>
        <v>138824.25</v>
      </c>
      <c r="H113">
        <f>SUM(F$3:F113)</f>
        <v>138471.05</v>
      </c>
      <c r="I113">
        <f t="shared" si="12"/>
        <v>353.20000000001164</v>
      </c>
      <c r="J113" s="1">
        <f t="shared" si="13"/>
        <v>117.73333333333721</v>
      </c>
      <c r="K113">
        <v>4.25</v>
      </c>
      <c r="M113" s="2">
        <f t="shared" si="11"/>
        <v>-12</v>
      </c>
      <c r="N113">
        <v>1965</v>
      </c>
    </row>
    <row r="114" spans="1:14" ht="12.75">
      <c r="A114">
        <v>1966</v>
      </c>
      <c r="B114">
        <f t="shared" si="14"/>
        <v>112</v>
      </c>
      <c r="C114">
        <v>1</v>
      </c>
      <c r="D114">
        <v>0</v>
      </c>
      <c r="E114">
        <f>19*60+12</f>
        <v>1152</v>
      </c>
      <c r="F114" s="1">
        <f>E114+3.75*3</f>
        <v>1163.25</v>
      </c>
      <c r="G114">
        <f>SUM(E$3:E114)</f>
        <v>139976.25</v>
      </c>
      <c r="H114">
        <f>SUM(F$3:F114)</f>
        <v>139634.3</v>
      </c>
      <c r="I114">
        <f t="shared" si="12"/>
        <v>341.95000000001164</v>
      </c>
      <c r="J114" s="1">
        <f t="shared" si="13"/>
        <v>113.98333333333721</v>
      </c>
      <c r="K114">
        <v>4.25</v>
      </c>
      <c r="M114" s="2">
        <f t="shared" si="11"/>
        <v>-11.25</v>
      </c>
      <c r="N114">
        <v>1966</v>
      </c>
    </row>
    <row r="115" spans="1:14" ht="12.75">
      <c r="A115">
        <v>1967</v>
      </c>
      <c r="B115">
        <f t="shared" si="14"/>
        <v>113</v>
      </c>
      <c r="C115">
        <v>1</v>
      </c>
      <c r="D115">
        <v>0</v>
      </c>
      <c r="E115">
        <f>18*60+52</f>
        <v>1132</v>
      </c>
      <c r="F115" s="1">
        <f>E115+3.25*3</f>
        <v>1141.75</v>
      </c>
      <c r="G115">
        <f>SUM(E$3:E115)</f>
        <v>141108.25</v>
      </c>
      <c r="H115">
        <f>SUM(F$3:F115)</f>
        <v>140776.05</v>
      </c>
      <c r="I115">
        <f t="shared" si="12"/>
        <v>332.20000000001164</v>
      </c>
      <c r="J115" s="1">
        <f t="shared" si="13"/>
        <v>110.73333333333721</v>
      </c>
      <c r="K115">
        <v>4.25</v>
      </c>
      <c r="M115" s="2">
        <f t="shared" si="11"/>
        <v>-9.75</v>
      </c>
      <c r="N115">
        <v>1967</v>
      </c>
    </row>
    <row r="116" spans="1:14" ht="12.75">
      <c r="A116">
        <v>1968</v>
      </c>
      <c r="B116">
        <f t="shared" si="14"/>
        <v>114</v>
      </c>
      <c r="C116">
        <v>0</v>
      </c>
      <c r="D116">
        <v>1</v>
      </c>
      <c r="E116">
        <f>F116+3.5*3</f>
        <v>1112.5</v>
      </c>
      <c r="F116" s="1">
        <f>18*60+22</f>
        <v>1102</v>
      </c>
      <c r="G116">
        <f>SUM(E$3:E116)</f>
        <v>142220.75</v>
      </c>
      <c r="H116">
        <f>SUM(F$3:F116)</f>
        <v>141878.05</v>
      </c>
      <c r="I116">
        <f t="shared" si="12"/>
        <v>342.70000000001164</v>
      </c>
      <c r="J116" s="1">
        <f t="shared" si="13"/>
        <v>114.23333333333721</v>
      </c>
      <c r="K116">
        <v>4.25</v>
      </c>
      <c r="M116" s="2">
        <f t="shared" si="11"/>
        <v>10.5</v>
      </c>
      <c r="N116">
        <v>1968</v>
      </c>
    </row>
    <row r="117" spans="1:14" ht="12.75">
      <c r="A117">
        <v>1969</v>
      </c>
      <c r="B117">
        <f t="shared" si="14"/>
        <v>115</v>
      </c>
      <c r="C117">
        <v>0</v>
      </c>
      <c r="D117">
        <v>1</v>
      </c>
      <c r="E117">
        <f>F117+12</f>
        <v>1096</v>
      </c>
      <c r="F117" s="1">
        <f>18*60+4</f>
        <v>1084</v>
      </c>
      <c r="G117">
        <f>SUM(E$3:E117)</f>
        <v>143316.75</v>
      </c>
      <c r="H117">
        <f>SUM(F$3:F117)</f>
        <v>142962.05</v>
      </c>
      <c r="I117">
        <f t="shared" si="12"/>
        <v>354.70000000001164</v>
      </c>
      <c r="J117" s="1">
        <f t="shared" si="13"/>
        <v>118.23333333333721</v>
      </c>
      <c r="K117">
        <v>4.25</v>
      </c>
      <c r="M117" s="2">
        <f t="shared" si="11"/>
        <v>12</v>
      </c>
      <c r="N117">
        <v>1969</v>
      </c>
    </row>
    <row r="118" spans="1:14" ht="12.75">
      <c r="A118">
        <v>1970</v>
      </c>
      <c r="B118">
        <f t="shared" si="14"/>
        <v>116</v>
      </c>
      <c r="C118">
        <v>0</v>
      </c>
      <c r="D118">
        <v>1</v>
      </c>
      <c r="E118">
        <f>F118+3.5*3</f>
        <v>1232.5</v>
      </c>
      <c r="F118" s="1">
        <f>20*60+22</f>
        <v>1222</v>
      </c>
      <c r="G118">
        <f>SUM(E$3:E118)</f>
        <v>144549.25</v>
      </c>
      <c r="H118">
        <f>SUM(F$3:F118)</f>
        <v>144184.05</v>
      </c>
      <c r="I118">
        <f t="shared" si="12"/>
        <v>365.20000000001164</v>
      </c>
      <c r="J118" s="1">
        <f t="shared" si="13"/>
        <v>121.73333333333721</v>
      </c>
      <c r="K118">
        <v>4.25</v>
      </c>
      <c r="M118" s="2">
        <f t="shared" si="11"/>
        <v>10.5</v>
      </c>
      <c r="N118">
        <v>1970</v>
      </c>
    </row>
    <row r="119" spans="1:14" ht="12.75">
      <c r="A119">
        <v>1971</v>
      </c>
      <c r="B119">
        <f t="shared" si="14"/>
        <v>117</v>
      </c>
      <c r="C119">
        <v>0</v>
      </c>
      <c r="D119">
        <v>1</v>
      </c>
      <c r="E119">
        <f>F119+30</f>
        <v>1108</v>
      </c>
      <c r="F119" s="1">
        <f>17*60+58</f>
        <v>1078</v>
      </c>
      <c r="G119">
        <f>SUM(E$3:E119)</f>
        <v>145657.25</v>
      </c>
      <c r="H119">
        <f>SUM(F$3:F119)</f>
        <v>145262.05</v>
      </c>
      <c r="I119">
        <f t="shared" si="12"/>
        <v>395.20000000001164</v>
      </c>
      <c r="J119" s="1">
        <f t="shared" si="13"/>
        <v>131.7333333333372</v>
      </c>
      <c r="K119">
        <v>4.25</v>
      </c>
      <c r="M119" s="2">
        <f t="shared" si="11"/>
        <v>30</v>
      </c>
      <c r="N119">
        <v>1971</v>
      </c>
    </row>
    <row r="120" spans="1:14" ht="12.75">
      <c r="A120">
        <v>1972</v>
      </c>
      <c r="B120">
        <f t="shared" si="14"/>
        <v>118</v>
      </c>
      <c r="C120">
        <v>0</v>
      </c>
      <c r="D120">
        <v>1</v>
      </c>
      <c r="E120">
        <f>F120+9.5*3</f>
        <v>1144.5</v>
      </c>
      <c r="F120" s="1">
        <f>18*60+36</f>
        <v>1116</v>
      </c>
      <c r="G120">
        <f>SUM(E$3:E120)</f>
        <v>146801.75</v>
      </c>
      <c r="H120">
        <f>SUM(F$3:F120)</f>
        <v>146378.05</v>
      </c>
      <c r="I120">
        <f t="shared" si="12"/>
        <v>423.70000000001164</v>
      </c>
      <c r="J120" s="1">
        <f t="shared" si="13"/>
        <v>141.2333333333372</v>
      </c>
      <c r="K120">
        <v>4.25</v>
      </c>
      <c r="M120" s="2">
        <f t="shared" si="11"/>
        <v>28.5</v>
      </c>
      <c r="N120">
        <v>1972</v>
      </c>
    </row>
    <row r="121" spans="1:14" ht="12.75">
      <c r="A121">
        <v>1973</v>
      </c>
      <c r="B121">
        <f t="shared" si="14"/>
        <v>119</v>
      </c>
      <c r="C121">
        <v>0</v>
      </c>
      <c r="D121">
        <v>1</v>
      </c>
      <c r="E121">
        <f>F121+13*3</f>
        <v>1200</v>
      </c>
      <c r="F121" s="1">
        <f>19*60+21</f>
        <v>1161</v>
      </c>
      <c r="G121">
        <f>SUM(E$3:E121)</f>
        <v>148001.75</v>
      </c>
      <c r="H121">
        <f>SUM(F$3:F121)</f>
        <v>147539.05</v>
      </c>
      <c r="I121">
        <f t="shared" si="12"/>
        <v>462.70000000001164</v>
      </c>
      <c r="J121" s="1">
        <f t="shared" si="13"/>
        <v>154.2333333333372</v>
      </c>
      <c r="K121">
        <v>4.25</v>
      </c>
      <c r="M121" s="2">
        <f t="shared" si="11"/>
        <v>39</v>
      </c>
      <c r="N121">
        <v>1973</v>
      </c>
    </row>
    <row r="122" spans="1:14" ht="12.75">
      <c r="A122">
        <v>1974</v>
      </c>
      <c r="B122">
        <f t="shared" si="14"/>
        <v>120</v>
      </c>
      <c r="C122">
        <v>1</v>
      </c>
      <c r="D122">
        <v>0</v>
      </c>
      <c r="E122">
        <f>17*60+35</f>
        <v>1055</v>
      </c>
      <c r="F122" s="1">
        <f>E122+5.5*3</f>
        <v>1071.5</v>
      </c>
      <c r="G122">
        <f>SUM(E$3:E122)</f>
        <v>149056.75</v>
      </c>
      <c r="H122">
        <f>SUM(F$3:F122)</f>
        <v>148610.55</v>
      </c>
      <c r="I122">
        <f t="shared" si="12"/>
        <v>446.20000000001164</v>
      </c>
      <c r="J122" s="1">
        <f t="shared" si="13"/>
        <v>148.7333333333372</v>
      </c>
      <c r="K122">
        <v>4.25</v>
      </c>
      <c r="M122" s="2">
        <f t="shared" si="11"/>
        <v>-16.5</v>
      </c>
      <c r="N122">
        <v>1974</v>
      </c>
    </row>
    <row r="123" spans="1:14" ht="12.75">
      <c r="A123">
        <v>1975</v>
      </c>
      <c r="B123">
        <f t="shared" si="14"/>
        <v>121</v>
      </c>
      <c r="C123">
        <v>0</v>
      </c>
      <c r="D123">
        <v>1</v>
      </c>
      <c r="E123">
        <f>F123+3.75*3</f>
        <v>1178.25</v>
      </c>
      <c r="F123" s="1">
        <f>19*60+27</f>
        <v>1167</v>
      </c>
      <c r="G123">
        <f>SUM(E$3:E123)</f>
        <v>150235</v>
      </c>
      <c r="H123">
        <f>SUM(F$3:F123)</f>
        <v>149777.55</v>
      </c>
      <c r="I123">
        <f t="shared" si="12"/>
        <v>457.45000000001164</v>
      </c>
      <c r="J123" s="1">
        <f t="shared" si="13"/>
        <v>152.4833333333372</v>
      </c>
      <c r="K123">
        <v>4.25</v>
      </c>
      <c r="M123" s="2">
        <f t="shared" si="11"/>
        <v>11.25</v>
      </c>
      <c r="N123">
        <v>1975</v>
      </c>
    </row>
    <row r="124" spans="1:14" ht="12.75">
      <c r="A124">
        <v>1976</v>
      </c>
      <c r="B124">
        <f t="shared" si="14"/>
        <v>122</v>
      </c>
      <c r="C124">
        <v>1</v>
      </c>
      <c r="D124">
        <v>0</v>
      </c>
      <c r="E124">
        <f>16*60+58</f>
        <v>1018</v>
      </c>
      <c r="F124" s="1">
        <f>E124+6.5*3</f>
        <v>1037.5</v>
      </c>
      <c r="G124">
        <f>SUM(E$3:E124)</f>
        <v>151253</v>
      </c>
      <c r="H124">
        <f>SUM(F$3:F124)</f>
        <v>150815.05</v>
      </c>
      <c r="I124">
        <f t="shared" si="12"/>
        <v>437.95000000001164</v>
      </c>
      <c r="J124" s="1">
        <f t="shared" si="13"/>
        <v>145.9833333333372</v>
      </c>
      <c r="K124">
        <v>4.25</v>
      </c>
      <c r="M124" s="2">
        <f t="shared" si="11"/>
        <v>-19.5</v>
      </c>
      <c r="N124">
        <v>1976</v>
      </c>
    </row>
    <row r="125" spans="1:14" ht="12.75">
      <c r="A125">
        <v>1977</v>
      </c>
      <c r="B125">
        <f t="shared" si="14"/>
        <v>123</v>
      </c>
      <c r="C125">
        <v>1</v>
      </c>
      <c r="D125">
        <v>0</v>
      </c>
      <c r="E125">
        <f>19*60+28</f>
        <v>1168</v>
      </c>
      <c r="F125" s="1">
        <f>E125+7*3</f>
        <v>1189</v>
      </c>
      <c r="G125">
        <f>SUM(E$3:E125)</f>
        <v>152421</v>
      </c>
      <c r="H125">
        <f>SUM(F$3:F125)</f>
        <v>152004.05</v>
      </c>
      <c r="I125">
        <f t="shared" si="12"/>
        <v>416.95000000001164</v>
      </c>
      <c r="J125" s="1">
        <f t="shared" si="13"/>
        <v>138.9833333333372</v>
      </c>
      <c r="K125">
        <v>4.25</v>
      </c>
      <c r="M125" s="2">
        <f t="shared" si="11"/>
        <v>-21</v>
      </c>
      <c r="N125">
        <v>1977</v>
      </c>
    </row>
    <row r="126" spans="1:14" ht="12.75">
      <c r="A126">
        <v>1978</v>
      </c>
      <c r="B126">
        <f t="shared" si="14"/>
        <v>124</v>
      </c>
      <c r="C126">
        <v>1</v>
      </c>
      <c r="D126">
        <v>0</v>
      </c>
      <c r="E126">
        <v>0</v>
      </c>
      <c r="F126" s="1">
        <v>0</v>
      </c>
      <c r="G126">
        <f>SUM(E$3:E126)</f>
        <v>152421</v>
      </c>
      <c r="H126">
        <f>SUM(F$3:F126)</f>
        <v>152004.05</v>
      </c>
      <c r="I126">
        <f t="shared" si="12"/>
        <v>416.95000000001164</v>
      </c>
      <c r="J126" s="1">
        <f t="shared" si="13"/>
        <v>138.9833333333372</v>
      </c>
      <c r="K126">
        <v>4.25</v>
      </c>
      <c r="L126" t="s">
        <v>14</v>
      </c>
      <c r="M126" s="2">
        <f t="shared" si="11"/>
        <v>0</v>
      </c>
      <c r="N126">
        <v>1978</v>
      </c>
    </row>
    <row r="127" spans="1:14" ht="12.75">
      <c r="A127">
        <v>1979</v>
      </c>
      <c r="B127">
        <f t="shared" si="14"/>
        <v>125</v>
      </c>
      <c r="C127">
        <v>1</v>
      </c>
      <c r="D127">
        <v>0</v>
      </c>
      <c r="E127">
        <f>20*60+33</f>
        <v>1233</v>
      </c>
      <c r="F127" s="1">
        <f>E127+3.5*3</f>
        <v>1243.5</v>
      </c>
      <c r="G127">
        <f>SUM(E$3:E127)</f>
        <v>153654</v>
      </c>
      <c r="H127">
        <f>SUM(F$3:F127)</f>
        <v>153247.55</v>
      </c>
      <c r="I127">
        <f t="shared" si="12"/>
        <v>406.45000000001164</v>
      </c>
      <c r="J127" s="1">
        <f t="shared" si="13"/>
        <v>135.4833333333372</v>
      </c>
      <c r="K127">
        <v>4.25</v>
      </c>
      <c r="M127" s="2">
        <f t="shared" si="11"/>
        <v>-10.5</v>
      </c>
      <c r="N127">
        <v>1979</v>
      </c>
    </row>
    <row r="128" spans="1:14" ht="12.75">
      <c r="A128">
        <v>1980</v>
      </c>
      <c r="B128">
        <f t="shared" si="14"/>
        <v>126</v>
      </c>
      <c r="C128">
        <v>1</v>
      </c>
      <c r="D128">
        <v>0</v>
      </c>
      <c r="E128">
        <f>19*60+20</f>
        <v>1160</v>
      </c>
      <c r="F128" s="1">
        <f>E128+1</f>
        <v>1161</v>
      </c>
      <c r="G128">
        <f>SUM(E$3:E128)</f>
        <v>154814</v>
      </c>
      <c r="H128">
        <f>SUM(F$3:F128)</f>
        <v>154408.55</v>
      </c>
      <c r="I128">
        <f t="shared" si="12"/>
        <v>405.45000000001164</v>
      </c>
      <c r="J128" s="1">
        <f t="shared" si="13"/>
        <v>135.15000000000387</v>
      </c>
      <c r="K128">
        <v>4.25</v>
      </c>
      <c r="M128" s="2">
        <f t="shared" si="11"/>
        <v>-1</v>
      </c>
      <c r="N128">
        <v>1980</v>
      </c>
    </row>
    <row r="129" spans="1:14" ht="12.75">
      <c r="A129">
        <v>1981</v>
      </c>
      <c r="B129">
        <f t="shared" si="14"/>
        <v>127</v>
      </c>
      <c r="C129">
        <v>1</v>
      </c>
      <c r="D129">
        <v>0</v>
      </c>
      <c r="E129">
        <f>18*60+11</f>
        <v>1091</v>
      </c>
      <c r="F129" s="1">
        <f>E129+11*3</f>
        <v>1124</v>
      </c>
      <c r="G129">
        <f>SUM(E$3:E129)</f>
        <v>155905</v>
      </c>
      <c r="H129">
        <f>SUM(F$3:F129)</f>
        <v>155532.55</v>
      </c>
      <c r="I129">
        <f t="shared" si="12"/>
        <v>372.45000000001164</v>
      </c>
      <c r="J129" s="1">
        <f t="shared" si="13"/>
        <v>124.15000000000389</v>
      </c>
      <c r="K129">
        <v>4.25</v>
      </c>
      <c r="M129" s="2">
        <f>E129-F129</f>
        <v>-33</v>
      </c>
      <c r="N129">
        <v>1981</v>
      </c>
    </row>
    <row r="130" spans="1:14" ht="12.75">
      <c r="A130">
        <v>1982</v>
      </c>
      <c r="B130">
        <f t="shared" si="14"/>
        <v>128</v>
      </c>
      <c r="C130">
        <v>1</v>
      </c>
      <c r="D130">
        <v>0</v>
      </c>
      <c r="E130">
        <f>18*60+21</f>
        <v>1101</v>
      </c>
      <c r="F130" s="1">
        <f>E130+3.25*3</f>
        <v>1110.75</v>
      </c>
      <c r="G130">
        <f>SUM(E$3:E130)</f>
        <v>157006</v>
      </c>
      <c r="H130">
        <f>SUM(F$3:F130)</f>
        <v>156643.3</v>
      </c>
      <c r="I130">
        <f t="shared" si="12"/>
        <v>362.70000000001164</v>
      </c>
      <c r="J130" s="1">
        <f t="shared" si="13"/>
        <v>120.90000000000389</v>
      </c>
      <c r="K130">
        <v>4.25</v>
      </c>
      <c r="M130" s="2">
        <f aca="true" t="shared" si="15" ref="M130:M163">E130-F130</f>
        <v>-9.75</v>
      </c>
      <c r="N130">
        <v>1982</v>
      </c>
    </row>
    <row r="131" spans="1:14" ht="12.75">
      <c r="A131">
        <v>1983</v>
      </c>
      <c r="B131">
        <f t="shared" si="14"/>
        <v>129</v>
      </c>
      <c r="C131">
        <v>1</v>
      </c>
      <c r="D131">
        <v>0</v>
      </c>
      <c r="E131">
        <f>19*60+7</f>
        <v>1147</v>
      </c>
      <c r="F131" s="1">
        <f>E131+4.5*3</f>
        <v>1160.5</v>
      </c>
      <c r="G131">
        <f>SUM(E$3:E131)</f>
        <v>158153</v>
      </c>
      <c r="H131">
        <f>SUM(F$3:F131)</f>
        <v>157803.8</v>
      </c>
      <c r="I131">
        <f aca="true" t="shared" si="16" ref="I131:I158">G131-H131</f>
        <v>349.20000000001164</v>
      </c>
      <c r="J131" s="1">
        <f aca="true" t="shared" si="17" ref="J131:J158">I131/3</f>
        <v>116.40000000000389</v>
      </c>
      <c r="K131">
        <v>4.25</v>
      </c>
      <c r="M131" s="2">
        <f t="shared" si="15"/>
        <v>-13.5</v>
      </c>
      <c r="N131">
        <v>1983</v>
      </c>
    </row>
    <row r="132" spans="1:14" ht="12.75">
      <c r="A132">
        <v>1984</v>
      </c>
      <c r="B132">
        <f aca="true" t="shared" si="18" ref="B132:B155">B131+1</f>
        <v>130</v>
      </c>
      <c r="C132">
        <v>1</v>
      </c>
      <c r="D132">
        <v>0</v>
      </c>
      <c r="E132">
        <f>16*60+45</f>
        <v>1005</v>
      </c>
      <c r="F132" s="1">
        <f>E132+3.75</f>
        <v>1008.75</v>
      </c>
      <c r="G132">
        <f>SUM(E$3:E132)</f>
        <v>159158</v>
      </c>
      <c r="H132">
        <f>SUM(F$3:F132)</f>
        <v>158812.55</v>
      </c>
      <c r="I132">
        <f t="shared" si="16"/>
        <v>345.45000000001164</v>
      </c>
      <c r="J132" s="1">
        <f t="shared" si="17"/>
        <v>115.15000000000389</v>
      </c>
      <c r="K132">
        <v>4.25</v>
      </c>
      <c r="M132" s="2">
        <f t="shared" si="15"/>
        <v>-3.75</v>
      </c>
      <c r="N132">
        <v>1984</v>
      </c>
    </row>
    <row r="133" spans="1:14" ht="12.75">
      <c r="A133">
        <v>1985</v>
      </c>
      <c r="B133">
        <f t="shared" si="18"/>
        <v>131</v>
      </c>
      <c r="C133">
        <v>1</v>
      </c>
      <c r="D133">
        <v>0</v>
      </c>
      <c r="E133">
        <f>17*60+11</f>
        <v>1031</v>
      </c>
      <c r="F133" s="1">
        <f>E133+4.75*3</f>
        <v>1045.25</v>
      </c>
      <c r="G133">
        <f>SUM(E$3:E133)</f>
        <v>160189</v>
      </c>
      <c r="H133">
        <f>SUM(F$3:F133)</f>
        <v>159857.8</v>
      </c>
      <c r="I133">
        <f t="shared" si="16"/>
        <v>331.20000000001164</v>
      </c>
      <c r="J133" s="1">
        <f t="shared" si="17"/>
        <v>110.40000000000389</v>
      </c>
      <c r="K133">
        <v>4.25</v>
      </c>
      <c r="M133" s="2">
        <f t="shared" si="15"/>
        <v>-14.25</v>
      </c>
      <c r="N133">
        <v>1985</v>
      </c>
    </row>
    <row r="134" spans="1:14" ht="12.75">
      <c r="A134">
        <v>1986</v>
      </c>
      <c r="B134">
        <f t="shared" si="18"/>
        <v>132</v>
      </c>
      <c r="C134">
        <v>0</v>
      </c>
      <c r="D134">
        <v>1</v>
      </c>
      <c r="E134">
        <f>F134+7*3</f>
        <v>1099</v>
      </c>
      <c r="F134" s="1">
        <f>17*60+58</f>
        <v>1078</v>
      </c>
      <c r="G134">
        <f>SUM(E$3:E134)</f>
        <v>161288</v>
      </c>
      <c r="H134">
        <f>SUM(F$3:F134)</f>
        <v>160935.8</v>
      </c>
      <c r="I134">
        <f t="shared" si="16"/>
        <v>352.20000000001164</v>
      </c>
      <c r="J134" s="1">
        <f t="shared" si="17"/>
        <v>117.40000000000389</v>
      </c>
      <c r="K134">
        <v>4.25</v>
      </c>
      <c r="M134" s="2">
        <f t="shared" si="15"/>
        <v>21</v>
      </c>
      <c r="N134">
        <v>1986</v>
      </c>
    </row>
    <row r="135" spans="1:14" ht="12.75">
      <c r="A135">
        <v>1987</v>
      </c>
      <c r="B135">
        <f t="shared" si="18"/>
        <v>133</v>
      </c>
      <c r="C135">
        <v>1</v>
      </c>
      <c r="D135">
        <v>0</v>
      </c>
      <c r="E135">
        <f>19*60+59</f>
        <v>1199</v>
      </c>
      <c r="F135" s="1">
        <f>E135+12</f>
        <v>1211</v>
      </c>
      <c r="G135">
        <f>SUM(E$3:E135)</f>
        <v>162487</v>
      </c>
      <c r="H135">
        <f>SUM(F$3:F135)</f>
        <v>162146.8</v>
      </c>
      <c r="I135">
        <f t="shared" si="16"/>
        <v>340.20000000001164</v>
      </c>
      <c r="J135" s="1">
        <f t="shared" si="17"/>
        <v>113.40000000000389</v>
      </c>
      <c r="K135">
        <v>4.25</v>
      </c>
      <c r="M135" s="2">
        <f t="shared" si="15"/>
        <v>-12</v>
      </c>
      <c r="N135">
        <v>1987</v>
      </c>
    </row>
    <row r="136" spans="1:14" ht="12.75">
      <c r="A136">
        <v>1988</v>
      </c>
      <c r="B136">
        <f t="shared" si="18"/>
        <v>134</v>
      </c>
      <c r="C136">
        <v>1</v>
      </c>
      <c r="D136">
        <v>0</v>
      </c>
      <c r="E136">
        <f>17*60+35</f>
        <v>1055</v>
      </c>
      <c r="F136" s="1">
        <f>E136+5.5*3</f>
        <v>1071.5</v>
      </c>
      <c r="G136">
        <f>SUM(E$3:E136)</f>
        <v>163542</v>
      </c>
      <c r="H136">
        <f>SUM(F$3:F136)</f>
        <v>163218.3</v>
      </c>
      <c r="I136">
        <f t="shared" si="16"/>
        <v>323.70000000001164</v>
      </c>
      <c r="J136" s="1">
        <f t="shared" si="17"/>
        <v>107.90000000000389</v>
      </c>
      <c r="K136">
        <v>4.25</v>
      </c>
      <c r="M136" s="2">
        <f t="shared" si="15"/>
        <v>-16.5</v>
      </c>
      <c r="N136">
        <v>1988</v>
      </c>
    </row>
    <row r="137" spans="1:14" ht="12.75">
      <c r="A137">
        <v>1989</v>
      </c>
      <c r="B137">
        <f t="shared" si="18"/>
        <v>135</v>
      </c>
      <c r="C137">
        <v>1</v>
      </c>
      <c r="D137">
        <v>0</v>
      </c>
      <c r="E137">
        <f>18*60+27</f>
        <v>1107</v>
      </c>
      <c r="F137" s="1">
        <f>E137+2.25*3</f>
        <v>1113.75</v>
      </c>
      <c r="G137">
        <f>SUM(E$3:E137)</f>
        <v>164649</v>
      </c>
      <c r="H137">
        <f>SUM(F$3:F137)</f>
        <v>164332.05</v>
      </c>
      <c r="I137">
        <f t="shared" si="16"/>
        <v>316.95000000001164</v>
      </c>
      <c r="J137" s="1">
        <f t="shared" si="17"/>
        <v>105.65000000000389</v>
      </c>
      <c r="K137">
        <v>4.25</v>
      </c>
      <c r="M137" s="2">
        <f t="shared" si="15"/>
        <v>-6.75</v>
      </c>
      <c r="N137">
        <v>1989</v>
      </c>
    </row>
    <row r="138" spans="1:14" ht="12.75">
      <c r="A138">
        <v>1990</v>
      </c>
      <c r="B138">
        <f t="shared" si="18"/>
        <v>136</v>
      </c>
      <c r="C138">
        <v>1</v>
      </c>
      <c r="D138">
        <v>0</v>
      </c>
      <c r="E138">
        <f>17*60+22</f>
        <v>1042</v>
      </c>
      <c r="F138" s="1">
        <f>E138+2.25*3</f>
        <v>1048.75</v>
      </c>
      <c r="G138">
        <f>SUM(E$3:E138)</f>
        <v>165691</v>
      </c>
      <c r="H138">
        <f>SUM(F$3:F138)</f>
        <v>165380.8</v>
      </c>
      <c r="I138">
        <f t="shared" si="16"/>
        <v>310.20000000001164</v>
      </c>
      <c r="J138" s="1">
        <f t="shared" si="17"/>
        <v>103.40000000000389</v>
      </c>
      <c r="K138">
        <v>4.25</v>
      </c>
      <c r="M138" s="2">
        <f t="shared" si="15"/>
        <v>-6.75</v>
      </c>
      <c r="N138">
        <v>1990</v>
      </c>
    </row>
    <row r="139" spans="1:14" ht="12.75">
      <c r="A139">
        <v>1991</v>
      </c>
      <c r="B139">
        <f t="shared" si="18"/>
        <v>137</v>
      </c>
      <c r="C139">
        <v>1</v>
      </c>
      <c r="D139">
        <v>0</v>
      </c>
      <c r="E139">
        <f>16*60+59</f>
        <v>1019</v>
      </c>
      <c r="F139" s="1">
        <f>E139+4.25*3</f>
        <v>1031.75</v>
      </c>
      <c r="G139">
        <f>SUM(E$3:E139)</f>
        <v>166710</v>
      </c>
      <c r="H139">
        <f>SUM(F$3:F139)</f>
        <v>166412.55</v>
      </c>
      <c r="I139">
        <f t="shared" si="16"/>
        <v>297.45000000001164</v>
      </c>
      <c r="J139" s="1">
        <f t="shared" si="17"/>
        <v>99.15000000000389</v>
      </c>
      <c r="K139">
        <v>4.25</v>
      </c>
      <c r="M139" s="2">
        <f t="shared" si="15"/>
        <v>-12.75</v>
      </c>
      <c r="N139">
        <v>1991</v>
      </c>
    </row>
    <row r="140" spans="1:14" ht="12.75">
      <c r="A140">
        <v>1992</v>
      </c>
      <c r="B140">
        <f t="shared" si="18"/>
        <v>138</v>
      </c>
      <c r="C140">
        <v>1</v>
      </c>
      <c r="D140">
        <v>0</v>
      </c>
      <c r="E140">
        <f>17*60+44</f>
        <v>1064</v>
      </c>
      <c r="F140" s="1">
        <f>E140+1.25*3</f>
        <v>1067.75</v>
      </c>
      <c r="G140">
        <f>SUM(E$3:E140)</f>
        <v>167774</v>
      </c>
      <c r="H140">
        <f>SUM(F$3:F140)</f>
        <v>167480.3</v>
      </c>
      <c r="I140">
        <f t="shared" si="16"/>
        <v>293.70000000001164</v>
      </c>
      <c r="J140" s="1">
        <f t="shared" si="17"/>
        <v>97.90000000000389</v>
      </c>
      <c r="K140">
        <v>4.25</v>
      </c>
      <c r="M140" s="2">
        <f t="shared" si="15"/>
        <v>-3.75</v>
      </c>
      <c r="N140">
        <v>1992</v>
      </c>
    </row>
    <row r="141" spans="1:14" ht="12.75">
      <c r="A141">
        <v>1993</v>
      </c>
      <c r="B141">
        <f t="shared" si="18"/>
        <v>139</v>
      </c>
      <c r="C141">
        <v>0</v>
      </c>
      <c r="D141">
        <v>1</v>
      </c>
      <c r="E141">
        <f>F141+3.5*3</f>
        <v>1030.5</v>
      </c>
      <c r="F141" s="1">
        <f>17*60+0</f>
        <v>1020</v>
      </c>
      <c r="G141">
        <f>SUM(E$3:E141)</f>
        <v>168804.5</v>
      </c>
      <c r="H141">
        <f>SUM(F$3:F141)</f>
        <v>168500.3</v>
      </c>
      <c r="I141">
        <f t="shared" si="16"/>
        <v>304.20000000001164</v>
      </c>
      <c r="J141" s="1">
        <f t="shared" si="17"/>
        <v>101.40000000000389</v>
      </c>
      <c r="K141">
        <v>4.25</v>
      </c>
      <c r="M141" s="2">
        <f t="shared" si="15"/>
        <v>10.5</v>
      </c>
      <c r="N141">
        <v>1993</v>
      </c>
    </row>
    <row r="142" spans="1:14" ht="12.75">
      <c r="A142">
        <v>1994</v>
      </c>
      <c r="B142">
        <f t="shared" si="18"/>
        <v>140</v>
      </c>
      <c r="C142">
        <v>0</v>
      </c>
      <c r="D142">
        <v>1</v>
      </c>
      <c r="E142">
        <f>F142+6.5*3</f>
        <v>1108.5</v>
      </c>
      <c r="F142" s="1">
        <f>18*60+9</f>
        <v>1089</v>
      </c>
      <c r="G142">
        <f>SUM(E$3:E142)</f>
        <v>169913</v>
      </c>
      <c r="H142">
        <f>SUM(F$3:F142)</f>
        <v>169589.3</v>
      </c>
      <c r="I142">
        <f t="shared" si="16"/>
        <v>323.70000000001164</v>
      </c>
      <c r="J142" s="1">
        <f t="shared" si="17"/>
        <v>107.90000000000389</v>
      </c>
      <c r="K142">
        <v>4.25</v>
      </c>
      <c r="M142" s="2">
        <f t="shared" si="15"/>
        <v>19.5</v>
      </c>
      <c r="N142">
        <v>1994</v>
      </c>
    </row>
    <row r="143" spans="1:14" ht="12.75">
      <c r="A143">
        <v>1995</v>
      </c>
      <c r="B143">
        <f t="shared" si="18"/>
        <v>141</v>
      </c>
      <c r="C143">
        <v>0</v>
      </c>
      <c r="D143">
        <v>1</v>
      </c>
      <c r="E143">
        <f>F143+4*3</f>
        <v>1096</v>
      </c>
      <c r="F143" s="1">
        <f>18*60+4</f>
        <v>1084</v>
      </c>
      <c r="G143">
        <f>SUM(E$3:E143)</f>
        <v>171009</v>
      </c>
      <c r="H143">
        <f>SUM(F$3:F143)</f>
        <v>170673.3</v>
      </c>
      <c r="I143">
        <f t="shared" si="16"/>
        <v>335.70000000001164</v>
      </c>
      <c r="J143" s="1">
        <f t="shared" si="17"/>
        <v>111.90000000000389</v>
      </c>
      <c r="K143">
        <v>4.25</v>
      </c>
      <c r="M143" s="2">
        <f t="shared" si="15"/>
        <v>12</v>
      </c>
      <c r="N143">
        <v>1995</v>
      </c>
    </row>
    <row r="144" spans="1:14" ht="12.75">
      <c r="A144">
        <v>1996</v>
      </c>
      <c r="B144">
        <f t="shared" si="18"/>
        <v>142</v>
      </c>
      <c r="C144">
        <v>0</v>
      </c>
      <c r="D144">
        <v>1</v>
      </c>
      <c r="E144">
        <f>F144+2.75*3</f>
        <v>1026.25</v>
      </c>
      <c r="F144" s="1">
        <f>16*60+58</f>
        <v>1018</v>
      </c>
      <c r="G144">
        <f>SUM(E$3:E144)</f>
        <v>172035.25</v>
      </c>
      <c r="H144">
        <f>SUM(F$3:F144)</f>
        <v>171691.3</v>
      </c>
      <c r="I144">
        <f t="shared" si="16"/>
        <v>343.95000000001164</v>
      </c>
      <c r="J144" s="1">
        <f t="shared" si="17"/>
        <v>114.65000000000389</v>
      </c>
      <c r="K144">
        <v>4.25</v>
      </c>
      <c r="M144" s="2">
        <f t="shared" si="15"/>
        <v>8.25</v>
      </c>
      <c r="N144">
        <v>1996</v>
      </c>
    </row>
    <row r="145" spans="1:14" ht="12.75">
      <c r="A145">
        <v>1997</v>
      </c>
      <c r="B145">
        <f t="shared" si="18"/>
        <v>143</v>
      </c>
      <c r="C145">
        <v>0</v>
      </c>
      <c r="D145">
        <v>1</v>
      </c>
      <c r="E145">
        <f>F145+6</f>
        <v>1064</v>
      </c>
      <c r="F145" s="1">
        <f>17*60+38</f>
        <v>1058</v>
      </c>
      <c r="G145">
        <f>SUM(E$3:E145)</f>
        <v>173099.25</v>
      </c>
      <c r="H145">
        <f>SUM(F$3:F145)</f>
        <v>172749.3</v>
      </c>
      <c r="I145">
        <f t="shared" si="16"/>
        <v>349.95000000001164</v>
      </c>
      <c r="J145" s="1">
        <f t="shared" si="17"/>
        <v>116.65000000000389</v>
      </c>
      <c r="K145">
        <v>4.25</v>
      </c>
      <c r="M145" s="2">
        <f t="shared" si="15"/>
        <v>6</v>
      </c>
      <c r="N145">
        <v>1997</v>
      </c>
    </row>
    <row r="146" spans="1:14" ht="12.75">
      <c r="A146">
        <v>1998</v>
      </c>
      <c r="B146">
        <f t="shared" si="18"/>
        <v>144</v>
      </c>
      <c r="C146">
        <v>0</v>
      </c>
      <c r="D146">
        <v>1</v>
      </c>
      <c r="E146">
        <f>F146+9</f>
        <v>988</v>
      </c>
      <c r="F146" s="1">
        <f>16*60+19</f>
        <v>979</v>
      </c>
      <c r="G146">
        <f>SUM(E$3:E146)</f>
        <v>174087.25</v>
      </c>
      <c r="H146">
        <f>SUM(F$3:F146)</f>
        <v>173728.3</v>
      </c>
      <c r="I146">
        <f t="shared" si="16"/>
        <v>358.95000000001164</v>
      </c>
      <c r="J146" s="1">
        <f t="shared" si="17"/>
        <v>119.65000000000389</v>
      </c>
      <c r="K146">
        <v>4.25</v>
      </c>
      <c r="M146" s="2">
        <f t="shared" si="15"/>
        <v>9</v>
      </c>
      <c r="N146">
        <v>1998</v>
      </c>
    </row>
    <row r="147" spans="1:14" ht="12.75">
      <c r="A147">
        <v>1999</v>
      </c>
      <c r="B147">
        <f t="shared" si="18"/>
        <v>145</v>
      </c>
      <c r="C147">
        <v>0</v>
      </c>
      <c r="D147">
        <v>1</v>
      </c>
      <c r="E147">
        <f>F147+3.5*3</f>
        <v>1011.5</v>
      </c>
      <c r="F147" s="1">
        <f>16*60+41</f>
        <v>1001</v>
      </c>
      <c r="G147">
        <f>SUM(E$3:E147)</f>
        <v>175098.75</v>
      </c>
      <c r="H147">
        <f>SUM(F$3:F147)</f>
        <v>174729.3</v>
      </c>
      <c r="I147">
        <f t="shared" si="16"/>
        <v>369.45000000001164</v>
      </c>
      <c r="J147" s="1">
        <f t="shared" si="17"/>
        <v>123.15000000000389</v>
      </c>
      <c r="K147">
        <v>4.25</v>
      </c>
      <c r="M147" s="2">
        <f t="shared" si="15"/>
        <v>10.5</v>
      </c>
      <c r="N147">
        <v>1999</v>
      </c>
    </row>
    <row r="148" spans="1:14" ht="12.75">
      <c r="A148">
        <v>2000</v>
      </c>
      <c r="B148">
        <f t="shared" si="18"/>
        <v>146</v>
      </c>
      <c r="C148">
        <v>1</v>
      </c>
      <c r="D148">
        <v>0</v>
      </c>
      <c r="E148">
        <f>18*60+4</f>
        <v>1084</v>
      </c>
      <c r="F148" s="1">
        <f>E148+9</f>
        <v>1093</v>
      </c>
      <c r="G148">
        <f>SUM(E$3:E148)</f>
        <v>176182.75</v>
      </c>
      <c r="H148">
        <f>SUM(F$3:F148)</f>
        <v>175822.3</v>
      </c>
      <c r="I148">
        <f t="shared" si="16"/>
        <v>360.45000000001164</v>
      </c>
      <c r="J148" s="1">
        <f t="shared" si="17"/>
        <v>120.15000000000389</v>
      </c>
      <c r="K148">
        <v>4.25</v>
      </c>
      <c r="M148" s="2">
        <f t="shared" si="15"/>
        <v>-9</v>
      </c>
      <c r="N148">
        <v>2000</v>
      </c>
    </row>
    <row r="149" spans="1:14" ht="12.75">
      <c r="A149">
        <v>2001</v>
      </c>
      <c r="B149">
        <f t="shared" si="18"/>
        <v>147</v>
      </c>
      <c r="C149">
        <v>0</v>
      </c>
      <c r="D149">
        <v>1</v>
      </c>
      <c r="E149">
        <f>F149+2.5*3</f>
        <v>1206.5</v>
      </c>
      <c r="F149" s="1">
        <f>19*60+59</f>
        <v>1199</v>
      </c>
      <c r="G149">
        <f>SUM(E$3:E149)</f>
        <v>177389.25</v>
      </c>
      <c r="H149">
        <f>SUM(F$3:F149)</f>
        <v>177021.3</v>
      </c>
      <c r="I149">
        <f t="shared" si="16"/>
        <v>367.95000000001164</v>
      </c>
      <c r="J149" s="1">
        <f t="shared" si="17"/>
        <v>122.65000000000389</v>
      </c>
      <c r="K149">
        <v>4.25</v>
      </c>
      <c r="M149" s="2">
        <f t="shared" si="15"/>
        <v>7.5</v>
      </c>
      <c r="N149">
        <v>2001</v>
      </c>
    </row>
    <row r="150" spans="1:14" ht="12.75">
      <c r="A150">
        <v>2002</v>
      </c>
      <c r="B150">
        <f t="shared" si="18"/>
        <v>148</v>
      </c>
      <c r="C150">
        <v>1</v>
      </c>
      <c r="D150">
        <v>0</v>
      </c>
      <c r="E150">
        <f>16*60+54</f>
        <v>1014</v>
      </c>
      <c r="F150" s="1">
        <f>E150+0.75*3</f>
        <v>1016.25</v>
      </c>
      <c r="G150">
        <f>SUM(E$3:E150)</f>
        <v>178403.25</v>
      </c>
      <c r="H150">
        <f>SUM(F$3:F150)</f>
        <v>178037.55</v>
      </c>
      <c r="I150">
        <f t="shared" si="16"/>
        <v>365.70000000001164</v>
      </c>
      <c r="J150" s="1">
        <f t="shared" si="17"/>
        <v>121.90000000000389</v>
      </c>
      <c r="K150">
        <v>4.25</v>
      </c>
      <c r="M150" s="2">
        <f t="shared" si="15"/>
        <v>-2.25</v>
      </c>
      <c r="N150">
        <v>2002</v>
      </c>
    </row>
    <row r="151" spans="1:14" ht="12.75">
      <c r="A151">
        <v>2003</v>
      </c>
      <c r="B151">
        <f t="shared" si="18"/>
        <v>149</v>
      </c>
      <c r="C151">
        <v>1</v>
      </c>
      <c r="D151">
        <v>0</v>
      </c>
      <c r="E151">
        <f>18*60+6</f>
        <v>1086</v>
      </c>
      <c r="F151" s="1">
        <f>E151+1/20</f>
        <v>1086.05</v>
      </c>
      <c r="G151">
        <f>SUM(E$3:E151)</f>
        <v>179489.25</v>
      </c>
      <c r="H151">
        <f>SUM(F$3:F151)</f>
        <v>179123.59999999998</v>
      </c>
      <c r="I151">
        <f t="shared" si="16"/>
        <v>365.6500000000233</v>
      </c>
      <c r="J151" s="1">
        <f t="shared" si="17"/>
        <v>121.8833333333411</v>
      </c>
      <c r="K151">
        <v>4.25</v>
      </c>
      <c r="M151" s="2">
        <f t="shared" si="15"/>
        <v>-0.049999999999954525</v>
      </c>
      <c r="N151">
        <v>2003</v>
      </c>
    </row>
    <row r="152" spans="1:14" ht="12.75">
      <c r="A152">
        <v>2004</v>
      </c>
      <c r="B152">
        <f t="shared" si="18"/>
        <v>150</v>
      </c>
      <c r="C152">
        <v>0</v>
      </c>
      <c r="D152">
        <v>1</v>
      </c>
      <c r="E152">
        <f>F152+18</f>
        <v>1115</v>
      </c>
      <c r="F152" s="1">
        <f>18*60+17</f>
        <v>1097</v>
      </c>
      <c r="G152">
        <f>SUM(E$3:E152)</f>
        <v>180604.25</v>
      </c>
      <c r="H152">
        <f>SUM(F$3:F152)</f>
        <v>180220.59999999998</v>
      </c>
      <c r="I152">
        <f t="shared" si="16"/>
        <v>383.6500000000233</v>
      </c>
      <c r="J152" s="1">
        <f t="shared" si="17"/>
        <v>127.8833333333411</v>
      </c>
      <c r="K152">
        <v>4.25</v>
      </c>
      <c r="M152" s="2">
        <f t="shared" si="15"/>
        <v>18</v>
      </c>
      <c r="N152">
        <v>2004</v>
      </c>
    </row>
    <row r="153" spans="1:14" ht="12.75">
      <c r="A153">
        <v>2005</v>
      </c>
      <c r="B153">
        <f t="shared" si="18"/>
        <v>151</v>
      </c>
      <c r="C153">
        <v>1</v>
      </c>
      <c r="D153">
        <v>0</v>
      </c>
      <c r="E153">
        <f>16*60+42</f>
        <v>1002</v>
      </c>
      <c r="F153" s="1">
        <f>E153+6</f>
        <v>1008</v>
      </c>
      <c r="G153">
        <f>SUM(E$3:E153)</f>
        <v>181606.25</v>
      </c>
      <c r="H153">
        <f>SUM(F$3:F153)</f>
        <v>181228.59999999998</v>
      </c>
      <c r="I153">
        <f t="shared" si="16"/>
        <v>377.6500000000233</v>
      </c>
      <c r="J153" s="1">
        <f t="shared" si="17"/>
        <v>125.8833333333411</v>
      </c>
      <c r="K153">
        <v>4.25</v>
      </c>
      <c r="M153" s="2">
        <f t="shared" si="15"/>
        <v>-6</v>
      </c>
      <c r="N153">
        <v>2005</v>
      </c>
    </row>
    <row r="154" spans="1:14" ht="12.75">
      <c r="A154">
        <v>2006</v>
      </c>
      <c r="B154">
        <f t="shared" si="18"/>
        <v>152</v>
      </c>
      <c r="C154">
        <v>1</v>
      </c>
      <c r="D154">
        <v>0</v>
      </c>
      <c r="E154">
        <f>18*60+26</f>
        <v>1106</v>
      </c>
      <c r="F154" s="1">
        <f>E154+15</f>
        <v>1121</v>
      </c>
      <c r="G154">
        <f>SUM(E$3:E154)</f>
        <v>182712.25</v>
      </c>
      <c r="H154">
        <f>SUM(F$3:F154)</f>
        <v>182349.59999999998</v>
      </c>
      <c r="I154">
        <f t="shared" si="16"/>
        <v>362.6500000000233</v>
      </c>
      <c r="J154" s="1">
        <f t="shared" si="17"/>
        <v>120.8833333333411</v>
      </c>
      <c r="K154">
        <v>4.25</v>
      </c>
      <c r="M154" s="2">
        <f t="shared" si="15"/>
        <v>-15</v>
      </c>
      <c r="N154">
        <v>2006</v>
      </c>
    </row>
    <row r="155" spans="1:14" ht="12.75">
      <c r="A155">
        <v>2007</v>
      </c>
      <c r="B155">
        <f t="shared" si="18"/>
        <v>153</v>
      </c>
      <c r="C155">
        <v>0</v>
      </c>
      <c r="D155">
        <v>1</v>
      </c>
      <c r="E155">
        <f>F155+4</f>
        <v>1073</v>
      </c>
      <c r="F155">
        <f>17*60+49</f>
        <v>1069</v>
      </c>
      <c r="G155">
        <f>SUM(E$3:E155)</f>
        <v>183785.25</v>
      </c>
      <c r="H155">
        <f>SUM(F$3:F155)</f>
        <v>183418.59999999998</v>
      </c>
      <c r="I155">
        <f t="shared" si="16"/>
        <v>366.6500000000233</v>
      </c>
      <c r="J155" s="1">
        <f t="shared" si="17"/>
        <v>122.21666666667443</v>
      </c>
      <c r="K155">
        <v>4.25</v>
      </c>
      <c r="M155" s="2">
        <f t="shared" si="15"/>
        <v>4</v>
      </c>
      <c r="N155">
        <v>2007</v>
      </c>
    </row>
    <row r="156" spans="1:14" ht="12.75">
      <c r="A156">
        <v>2008</v>
      </c>
      <c r="B156">
        <v>154</v>
      </c>
      <c r="C156">
        <v>1</v>
      </c>
      <c r="D156">
        <v>0</v>
      </c>
      <c r="E156">
        <f>20*60+53</f>
        <v>1253</v>
      </c>
      <c r="F156">
        <f>E156+18</f>
        <v>1271</v>
      </c>
      <c r="G156">
        <f>SUM(E$3:E156)</f>
        <v>185038.25</v>
      </c>
      <c r="H156">
        <f>SUM(F$3:F156)</f>
        <v>184689.59999999998</v>
      </c>
      <c r="I156">
        <f t="shared" si="16"/>
        <v>348.6500000000233</v>
      </c>
      <c r="J156" s="1">
        <f t="shared" si="17"/>
        <v>116.21666666667443</v>
      </c>
      <c r="K156">
        <v>4.25</v>
      </c>
      <c r="M156" s="2">
        <f t="shared" si="15"/>
        <v>-18</v>
      </c>
      <c r="N156">
        <v>2008</v>
      </c>
    </row>
    <row r="157" spans="1:14" ht="12.75">
      <c r="A157">
        <v>2009</v>
      </c>
      <c r="B157">
        <v>155</v>
      </c>
      <c r="C157">
        <v>1</v>
      </c>
      <c r="D157">
        <v>0</v>
      </c>
      <c r="E157">
        <f>17*60+1</f>
        <v>1021</v>
      </c>
      <c r="F157">
        <f>17*60+11</f>
        <v>1031</v>
      </c>
      <c r="G157">
        <f>SUM(E$3:E157)</f>
        <v>186059.25</v>
      </c>
      <c r="H157">
        <f>SUM(F$3:F157)</f>
        <v>185720.59999999998</v>
      </c>
      <c r="I157">
        <f t="shared" si="16"/>
        <v>338.6500000000233</v>
      </c>
      <c r="J157" s="1">
        <f t="shared" si="17"/>
        <v>112.8833333333411</v>
      </c>
      <c r="K157">
        <v>4.25</v>
      </c>
      <c r="M157" s="2">
        <f t="shared" si="15"/>
        <v>-10</v>
      </c>
      <c r="N157">
        <v>2009</v>
      </c>
    </row>
    <row r="158" spans="1:14" ht="12.75">
      <c r="A158">
        <v>2010</v>
      </c>
      <c r="B158">
        <v>156</v>
      </c>
      <c r="C158">
        <v>0</v>
      </c>
      <c r="D158">
        <v>1</v>
      </c>
      <c r="E158">
        <v>1059</v>
      </c>
      <c r="F158">
        <f>17*60+35</f>
        <v>1055</v>
      </c>
      <c r="G158">
        <f>SUM(E$3:E158)</f>
        <v>187118.25</v>
      </c>
      <c r="H158">
        <f>SUM(F$3:F158)</f>
        <v>186775.59999999998</v>
      </c>
      <c r="I158">
        <f t="shared" si="16"/>
        <v>342.6500000000233</v>
      </c>
      <c r="J158" s="1">
        <f t="shared" si="17"/>
        <v>114.21666666667443</v>
      </c>
      <c r="K158">
        <v>4.25</v>
      </c>
      <c r="M158" s="2">
        <f t="shared" si="15"/>
        <v>4</v>
      </c>
      <c r="N158">
        <v>2010</v>
      </c>
    </row>
    <row r="159" spans="1:14" ht="12.75">
      <c r="A159">
        <v>2011</v>
      </c>
      <c r="B159">
        <v>157</v>
      </c>
      <c r="C159">
        <v>1</v>
      </c>
      <c r="D159">
        <v>0</v>
      </c>
      <c r="E159">
        <f>17*60+32</f>
        <v>1052</v>
      </c>
      <c r="F159">
        <v>1064</v>
      </c>
      <c r="G159">
        <f>SUM(E$3:E159)</f>
        <v>188170.25</v>
      </c>
      <c r="H159">
        <f>SUM(F$3:F159)</f>
        <v>187839.59999999998</v>
      </c>
      <c r="I159">
        <f>G159-H159</f>
        <v>330.6500000000233</v>
      </c>
      <c r="J159" s="1">
        <f>I159/3</f>
        <v>110.21666666667443</v>
      </c>
      <c r="K159">
        <v>4.25</v>
      </c>
      <c r="M159" s="2">
        <f t="shared" si="15"/>
        <v>-12</v>
      </c>
      <c r="N159">
        <v>2011</v>
      </c>
    </row>
    <row r="160" spans="1:14" ht="12.75">
      <c r="A160">
        <v>2012</v>
      </c>
      <c r="B160">
        <v>158</v>
      </c>
      <c r="C160">
        <v>0</v>
      </c>
      <c r="D160">
        <v>1</v>
      </c>
      <c r="E160">
        <f>1050+5*3</f>
        <v>1065</v>
      </c>
      <c r="F160">
        <f>17*60+30</f>
        <v>1050</v>
      </c>
      <c r="G160">
        <f>SUM(E$3:E160)</f>
        <v>189235.25</v>
      </c>
      <c r="H160">
        <f>SUM(F$3:F160)</f>
        <v>188889.59999999998</v>
      </c>
      <c r="I160">
        <f>G160-H160</f>
        <v>345.6500000000233</v>
      </c>
      <c r="J160" s="1">
        <f>I160/3</f>
        <v>115.21666666667443</v>
      </c>
      <c r="K160">
        <v>4.25</v>
      </c>
      <c r="L160" t="s">
        <v>29</v>
      </c>
      <c r="M160" s="2">
        <f t="shared" si="15"/>
        <v>15</v>
      </c>
      <c r="N160">
        <v>2012</v>
      </c>
    </row>
    <row r="161" spans="1:14" ht="12.75">
      <c r="A161">
        <v>2013</v>
      </c>
      <c r="B161">
        <v>159</v>
      </c>
      <c r="C161">
        <v>1</v>
      </c>
      <c r="D161">
        <v>0</v>
      </c>
      <c r="E161">
        <f>17*60+28</f>
        <v>1048</v>
      </c>
      <c r="F161">
        <v>1052</v>
      </c>
      <c r="G161">
        <f>SUM(E$3:E161)</f>
        <v>190283.25</v>
      </c>
      <c r="H161">
        <f>SUM(F$3:F161)</f>
        <v>189941.59999999998</v>
      </c>
      <c r="I161">
        <f>G161-H161</f>
        <v>341.6500000000233</v>
      </c>
      <c r="J161" s="1">
        <f>I161/3</f>
        <v>113.8833333333411</v>
      </c>
      <c r="K161">
        <v>4.25</v>
      </c>
      <c r="M161" s="2">
        <f t="shared" si="15"/>
        <v>-4</v>
      </c>
      <c r="N161">
        <v>2013</v>
      </c>
    </row>
    <row r="162" spans="1:14" ht="12.75">
      <c r="A162">
        <v>2014</v>
      </c>
      <c r="B162">
        <v>160</v>
      </c>
      <c r="C162">
        <v>1</v>
      </c>
      <c r="D162">
        <v>0</v>
      </c>
      <c r="E162">
        <f>19*60+8</f>
        <v>1148</v>
      </c>
      <c r="F162">
        <f>19*60+8+3*11</f>
        <v>1181</v>
      </c>
      <c r="G162">
        <f>SUM(E$3:E162)</f>
        <v>191431.25</v>
      </c>
      <c r="H162">
        <f>SUM(F$3:F162)</f>
        <v>191122.59999999998</v>
      </c>
      <c r="I162">
        <f>G162-H162</f>
        <v>308.6500000000233</v>
      </c>
      <c r="J162" s="1">
        <f>I162/3</f>
        <v>102.8833333333411</v>
      </c>
      <c r="K162">
        <v>4.25</v>
      </c>
      <c r="M162" s="2">
        <f t="shared" si="15"/>
        <v>-33</v>
      </c>
      <c r="N162">
        <v>2014</v>
      </c>
    </row>
    <row r="163" spans="1:14" ht="12.75">
      <c r="A163">
        <v>2015</v>
      </c>
      <c r="B163">
        <v>161</v>
      </c>
      <c r="C163">
        <v>1</v>
      </c>
      <c r="D163">
        <v>0</v>
      </c>
      <c r="E163">
        <f>17*60+35</f>
        <v>1055</v>
      </c>
      <c r="F163">
        <f>17*60+35+3*6</f>
        <v>1073</v>
      </c>
      <c r="G163">
        <f>SUM(E$3:E163)</f>
        <v>192486.25</v>
      </c>
      <c r="H163">
        <f>SUM(F$3:F163)</f>
        <v>192195.59999999998</v>
      </c>
      <c r="I163">
        <f>G163-H163</f>
        <v>290.6500000000233</v>
      </c>
      <c r="J163" s="1">
        <f>I163/3</f>
        <v>96.8833333333411</v>
      </c>
      <c r="K163">
        <v>4.25</v>
      </c>
      <c r="M163" s="2">
        <f t="shared" si="15"/>
        <v>-18</v>
      </c>
      <c r="N163">
        <v>2015</v>
      </c>
    </row>
    <row r="164" spans="1:14" ht="12.75">
      <c r="A164">
        <v>2016</v>
      </c>
      <c r="B164">
        <v>162</v>
      </c>
      <c r="J164" s="1"/>
      <c r="N164">
        <v>2016</v>
      </c>
    </row>
    <row r="165" spans="1:11" ht="12.75">
      <c r="A165" t="s">
        <v>12</v>
      </c>
      <c r="C165">
        <f>SUM(C3:C164)</f>
        <v>79</v>
      </c>
      <c r="D165">
        <f>SUM(D3:D164)</f>
        <v>81</v>
      </c>
      <c r="G165">
        <f>SUM(E$3:E164)</f>
        <v>192486.25</v>
      </c>
      <c r="H165">
        <f>SUM(F$3:F164)</f>
        <v>192195.59999999998</v>
      </c>
      <c r="I165">
        <f>SUM(G165-H165)</f>
        <v>290.6500000000233</v>
      </c>
      <c r="J165" s="1">
        <f>I165/3</f>
        <v>96.8833333333411</v>
      </c>
      <c r="K165">
        <f>SUM(K3:K164)</f>
        <v>689.5</v>
      </c>
    </row>
    <row r="166" spans="2:13" ht="12.75">
      <c r="B166" t="s">
        <v>2</v>
      </c>
      <c r="C166" t="s">
        <v>3</v>
      </c>
      <c r="D166" t="s">
        <v>4</v>
      </c>
      <c r="E166" t="s">
        <v>5</v>
      </c>
      <c r="F166" t="s">
        <v>6</v>
      </c>
      <c r="G166" t="s">
        <v>7</v>
      </c>
      <c r="H166" t="s">
        <v>8</v>
      </c>
      <c r="I166" t="s">
        <v>9</v>
      </c>
      <c r="J166" t="s">
        <v>10</v>
      </c>
      <c r="K166" t="s">
        <v>11</v>
      </c>
      <c r="M166" t="s">
        <v>27</v>
      </c>
    </row>
    <row r="167" spans="10:13" ht="12.75">
      <c r="J167" s="1"/>
      <c r="M167" s="4" t="s">
        <v>28</v>
      </c>
    </row>
    <row r="168" spans="1:10" ht="12.75">
      <c r="A168" s="5" t="s">
        <v>30</v>
      </c>
      <c r="B168" s="6"/>
      <c r="C168" s="6"/>
      <c r="D168" s="6"/>
      <c r="E168" s="6"/>
      <c r="F168" s="6"/>
      <c r="G168" s="6"/>
      <c r="H168" s="6"/>
      <c r="I168" s="7"/>
      <c r="J168" s="1" t="s">
        <v>26</v>
      </c>
    </row>
    <row r="169" spans="1:11" ht="12.75">
      <c r="A169" s="8" t="s">
        <v>17</v>
      </c>
      <c r="B169" s="9"/>
      <c r="C169" s="9">
        <f>INT(H165/3600)</f>
        <v>53</v>
      </c>
      <c r="D169" s="9" t="s">
        <v>19</v>
      </c>
      <c r="E169" s="9">
        <f>INT(H165/60-(C169*60))</f>
        <v>23</v>
      </c>
      <c r="F169" s="9" t="s">
        <v>20</v>
      </c>
      <c r="G169" s="9">
        <f>INT(H165-(E169*60)-(C169*3600))</f>
        <v>15</v>
      </c>
      <c r="H169" s="9" t="s">
        <v>21</v>
      </c>
      <c r="I169" s="10"/>
      <c r="J169">
        <f>96.88/161</f>
        <v>0.6017391304347826</v>
      </c>
      <c r="K169">
        <f>I165/161</f>
        <v>1.8052795031057347</v>
      </c>
    </row>
    <row r="170" spans="1:11" ht="12.75">
      <c r="A170" s="11" t="s">
        <v>18</v>
      </c>
      <c r="B170" s="12"/>
      <c r="C170" s="12">
        <f>INT(G165/3600)</f>
        <v>53</v>
      </c>
      <c r="D170" s="12" t="s">
        <v>19</v>
      </c>
      <c r="E170" s="12">
        <f>INT(G165/60-(C170*60))</f>
        <v>28</v>
      </c>
      <c r="F170" s="12" t="s">
        <v>20</v>
      </c>
      <c r="G170" s="12">
        <f>INT(G165-(E170*60)-(C170*3600))</f>
        <v>6</v>
      </c>
      <c r="H170" s="12" t="s">
        <v>21</v>
      </c>
      <c r="I170" s="13"/>
      <c r="J170" s="1"/>
      <c r="K170">
        <f>K169/3</f>
        <v>0.6017598343685783</v>
      </c>
    </row>
    <row r="171" spans="9:10" ht="12.75">
      <c r="I171" s="1"/>
      <c r="J171" s="1"/>
    </row>
    <row r="172" ht="12.75">
      <c r="J172" s="1"/>
    </row>
    <row r="173" ht="12.75">
      <c r="J173" s="1"/>
    </row>
    <row r="174" ht="12.75">
      <c r="J174" s="1"/>
    </row>
    <row r="175" ht="12.75">
      <c r="J175" s="1"/>
    </row>
    <row r="176" ht="12.75">
      <c r="J176" s="1"/>
    </row>
    <row r="177" ht="12.75">
      <c r="J177" s="1"/>
    </row>
    <row r="178" ht="12.75">
      <c r="J178" s="1"/>
    </row>
    <row r="179" ht="12.75">
      <c r="J179" s="1"/>
    </row>
    <row r="180" ht="12.75">
      <c r="J180" s="1"/>
    </row>
    <row r="181" ht="12.75">
      <c r="J181" s="1"/>
    </row>
    <row r="182" ht="12.75">
      <c r="J182" s="1"/>
    </row>
    <row r="183" ht="12.75">
      <c r="J183" s="1"/>
    </row>
    <row r="184" ht="12.75">
      <c r="J184" s="1"/>
    </row>
    <row r="185" ht="12.75">
      <c r="J185" s="1"/>
    </row>
    <row r="186" ht="12.75">
      <c r="J186" s="1"/>
    </row>
    <row r="187" ht="12.75">
      <c r="J187" s="1"/>
    </row>
    <row r="188" ht="12.75">
      <c r="J188" s="1"/>
    </row>
    <row r="189" ht="12.75">
      <c r="J189" s="1"/>
    </row>
    <row r="190" ht="12.75">
      <c r="J190" s="1"/>
    </row>
    <row r="191" ht="12.75">
      <c r="J191" s="1"/>
    </row>
    <row r="192" ht="12.75">
      <c r="J192" s="1"/>
    </row>
    <row r="193" ht="12.75">
      <c r="J193" s="1"/>
    </row>
    <row r="194" ht="12.75">
      <c r="J194" s="1"/>
    </row>
    <row r="195" ht="12.75">
      <c r="J195" s="1"/>
    </row>
    <row r="196" ht="12.75">
      <c r="J196" s="1"/>
    </row>
    <row r="197" ht="12.75">
      <c r="J197" s="1"/>
    </row>
    <row r="198" ht="12.75">
      <c r="J198" s="1"/>
    </row>
    <row r="199" ht="12.75">
      <c r="J199" s="1"/>
    </row>
    <row r="200" ht="12.75">
      <c r="J200" s="1"/>
    </row>
    <row r="201" ht="12.75">
      <c r="J201" s="1"/>
    </row>
    <row r="202" ht="12.75">
      <c r="J202" s="1"/>
    </row>
    <row r="203" ht="12.75">
      <c r="J203" s="1"/>
    </row>
    <row r="204" ht="12.75">
      <c r="J204" s="1"/>
    </row>
    <row r="205" ht="12.75">
      <c r="J205" s="1"/>
    </row>
    <row r="206" ht="12.75">
      <c r="J206" s="1"/>
    </row>
    <row r="207" ht="12.75">
      <c r="J207" s="1"/>
    </row>
    <row r="208" ht="12.75">
      <c r="J208" s="1"/>
    </row>
    <row r="209" ht="12.75">
      <c r="J209" s="1"/>
    </row>
    <row r="210" ht="12.75">
      <c r="J210" s="1"/>
    </row>
    <row r="211" ht="12.75">
      <c r="J211" s="1"/>
    </row>
    <row r="212" ht="12.75">
      <c r="J212" s="1"/>
    </row>
    <row r="213" ht="12.75">
      <c r="J213" s="1"/>
    </row>
    <row r="214" ht="12.75">
      <c r="J214" s="1"/>
    </row>
    <row r="215" ht="12.75">
      <c r="J215" s="1"/>
    </row>
    <row r="216" ht="12.75">
      <c r="J216" s="1"/>
    </row>
    <row r="217" ht="12.75">
      <c r="J217" s="1"/>
    </row>
    <row r="218" ht="12.75">
      <c r="J218" s="1"/>
    </row>
    <row r="219" ht="12.75">
      <c r="J219" s="1"/>
    </row>
    <row r="220" ht="12.75">
      <c r="J220" s="1"/>
    </row>
    <row r="221" ht="12.75">
      <c r="J221" s="1"/>
    </row>
    <row r="222" ht="12.75">
      <c r="J222" s="1"/>
    </row>
    <row r="223" ht="12.75">
      <c r="J223" s="1"/>
    </row>
    <row r="224" ht="12.75">
      <c r="J224" s="1"/>
    </row>
    <row r="225" ht="12.75">
      <c r="J225" s="1"/>
    </row>
    <row r="226" ht="12.75">
      <c r="J226" s="1"/>
    </row>
    <row r="227" ht="12.75">
      <c r="J227" s="1"/>
    </row>
    <row r="228" ht="12.75">
      <c r="J228" s="1"/>
    </row>
    <row r="229" ht="12.75">
      <c r="J229" s="1"/>
    </row>
    <row r="230" ht="12.75">
      <c r="J230" s="1"/>
    </row>
    <row r="231" ht="12.75">
      <c r="J231" s="1"/>
    </row>
    <row r="232" ht="12.75">
      <c r="J232" s="1"/>
    </row>
    <row r="233" ht="12.75">
      <c r="J233" s="1"/>
    </row>
    <row r="234" ht="12.75">
      <c r="J234" s="1"/>
    </row>
    <row r="235" ht="12.75">
      <c r="J235" s="1"/>
    </row>
    <row r="236" ht="12.75">
      <c r="J236" s="1"/>
    </row>
    <row r="237" ht="12.75">
      <c r="J237" s="1"/>
    </row>
    <row r="238" ht="12.75">
      <c r="J238" s="1"/>
    </row>
    <row r="239" ht="12.75">
      <c r="J239" s="1"/>
    </row>
    <row r="240" ht="12.75">
      <c r="J240" s="1"/>
    </row>
    <row r="241" ht="12.75">
      <c r="J241" s="1"/>
    </row>
    <row r="242" ht="12.75">
      <c r="J242" s="1"/>
    </row>
    <row r="243" ht="12.75">
      <c r="J243" s="1"/>
    </row>
    <row r="244" ht="12.75">
      <c r="J244" s="1"/>
    </row>
    <row r="245" ht="12.75">
      <c r="J245" s="1"/>
    </row>
    <row r="246" ht="12.75">
      <c r="J246" s="1"/>
    </row>
    <row r="247" ht="12.75">
      <c r="J247" s="1"/>
    </row>
    <row r="248" ht="12.75">
      <c r="J248" s="1"/>
    </row>
    <row r="249" ht="12.75">
      <c r="J249" s="1"/>
    </row>
    <row r="250" ht="12.75">
      <c r="J250" s="1"/>
    </row>
    <row r="251" ht="12.75">
      <c r="J251" s="1"/>
    </row>
    <row r="252" ht="12.75">
      <c r="J252" s="1"/>
    </row>
    <row r="253" ht="12.75">
      <c r="J253" s="1"/>
    </row>
    <row r="254" ht="12.75">
      <c r="J254" s="1"/>
    </row>
    <row r="255" ht="12.75">
      <c r="J255" s="1"/>
    </row>
    <row r="256" ht="12.75">
      <c r="J256" s="1"/>
    </row>
    <row r="257" ht="12.75">
      <c r="J257" s="1"/>
    </row>
    <row r="258" ht="12.75">
      <c r="J258" s="1"/>
    </row>
    <row r="259" ht="12.75">
      <c r="J259" s="1"/>
    </row>
    <row r="260" ht="12.75">
      <c r="J260" s="1"/>
    </row>
    <row r="261" ht="12.75">
      <c r="J261" s="1"/>
    </row>
    <row r="262" ht="12.75">
      <c r="J262" s="1"/>
    </row>
    <row r="263" ht="12.75">
      <c r="J263" s="1"/>
    </row>
    <row r="264" ht="12.75">
      <c r="J264" s="1"/>
    </row>
    <row r="265" ht="12.75">
      <c r="J265" s="1"/>
    </row>
    <row r="266" ht="12.75">
      <c r="J266" s="1"/>
    </row>
    <row r="267" ht="12.75">
      <c r="J267" s="1"/>
    </row>
    <row r="268" ht="12.75">
      <c r="J268" s="1"/>
    </row>
    <row r="269" ht="12.75">
      <c r="J269" s="1"/>
    </row>
    <row r="270" ht="12.75">
      <c r="J270" s="1"/>
    </row>
    <row r="271" ht="12.75">
      <c r="J271" s="1"/>
    </row>
    <row r="272" ht="12.75">
      <c r="J272" s="1"/>
    </row>
    <row r="273" ht="12.75">
      <c r="J273" s="1"/>
    </row>
    <row r="274" ht="12.75">
      <c r="J274" s="1"/>
    </row>
    <row r="275" ht="12.75">
      <c r="J275" s="1"/>
    </row>
    <row r="276" ht="12.75">
      <c r="J276" s="1"/>
    </row>
    <row r="277" ht="12.75">
      <c r="J277" s="1"/>
    </row>
    <row r="278" ht="12.75">
      <c r="J278" s="1"/>
    </row>
    <row r="279" ht="12.75">
      <c r="J279" s="1"/>
    </row>
    <row r="280" ht="12.75">
      <c r="J280" s="1"/>
    </row>
    <row r="281" ht="12.75">
      <c r="J281" s="1"/>
    </row>
    <row r="282" ht="12.75">
      <c r="J282" s="1"/>
    </row>
    <row r="283" ht="12.75">
      <c r="J283" s="1"/>
    </row>
    <row r="284" ht="12.75">
      <c r="J284" s="1"/>
    </row>
    <row r="285" ht="12.75">
      <c r="J285" s="1"/>
    </row>
    <row r="286" ht="12.75">
      <c r="J286" s="1"/>
    </row>
    <row r="287" ht="12.75">
      <c r="J287" s="1"/>
    </row>
    <row r="288" ht="12.75">
      <c r="J288" s="1"/>
    </row>
    <row r="289" ht="12.75">
      <c r="J289" s="1"/>
    </row>
    <row r="290" ht="12.75">
      <c r="J290" s="1"/>
    </row>
    <row r="291" ht="12.75">
      <c r="J291" s="1"/>
    </row>
    <row r="292" ht="12.75">
      <c r="J292" s="1"/>
    </row>
    <row r="293" ht="12.75">
      <c r="J293" s="1"/>
    </row>
    <row r="294" ht="12.75">
      <c r="J294" s="1"/>
    </row>
    <row r="295" ht="12.75">
      <c r="J295" s="1"/>
    </row>
    <row r="296" ht="12.75">
      <c r="J296" s="1"/>
    </row>
    <row r="297" ht="12.75">
      <c r="J297" s="1"/>
    </row>
    <row r="298" ht="12.75">
      <c r="J298" s="1"/>
    </row>
    <row r="299" ht="12.75">
      <c r="J299" s="1"/>
    </row>
    <row r="300" ht="12.75">
      <c r="J300" s="1"/>
    </row>
    <row r="301" ht="12.75">
      <c r="J301" s="1"/>
    </row>
    <row r="302" ht="12.75">
      <c r="J302" s="1"/>
    </row>
    <row r="303" ht="12.75">
      <c r="J303" s="1"/>
    </row>
    <row r="304" ht="12.75">
      <c r="J304" s="1"/>
    </row>
    <row r="305" ht="12.75">
      <c r="J305" s="1"/>
    </row>
    <row r="306" ht="12.75">
      <c r="J306" s="1"/>
    </row>
    <row r="307" ht="12.75">
      <c r="J307" s="1"/>
    </row>
    <row r="308" ht="12.75">
      <c r="J308" s="1"/>
    </row>
    <row r="309" ht="12.75">
      <c r="J309" s="1"/>
    </row>
    <row r="310" ht="12.75">
      <c r="J310" s="1"/>
    </row>
    <row r="311" ht="12.75">
      <c r="J311" s="1"/>
    </row>
    <row r="312" ht="12.75">
      <c r="J312" s="1"/>
    </row>
    <row r="313" ht="12.75">
      <c r="J313" s="1"/>
    </row>
    <row r="314" ht="12.75">
      <c r="J314" s="1"/>
    </row>
    <row r="315" ht="12.75">
      <c r="J315" s="1"/>
    </row>
    <row r="316" ht="12.75">
      <c r="J316" s="1"/>
    </row>
    <row r="317" ht="12.75">
      <c r="J317" s="1"/>
    </row>
    <row r="318" ht="12.75">
      <c r="J318" s="1"/>
    </row>
    <row r="319" ht="12.75">
      <c r="J319" s="1"/>
    </row>
    <row r="320" ht="12.75">
      <c r="J320" s="1"/>
    </row>
    <row r="321" ht="12.75">
      <c r="J321" s="1"/>
    </row>
    <row r="322" ht="12.75">
      <c r="J322" s="1"/>
    </row>
    <row r="323" ht="12.75">
      <c r="J323" s="1"/>
    </row>
    <row r="324" ht="12.75">
      <c r="J324" s="1"/>
    </row>
    <row r="325" ht="12.75">
      <c r="J325" s="1"/>
    </row>
    <row r="326" ht="12.75">
      <c r="J326" s="1"/>
    </row>
    <row r="327" ht="12.75">
      <c r="J327" s="1"/>
    </row>
    <row r="328" ht="12.75">
      <c r="J328" s="1"/>
    </row>
    <row r="329" ht="12.75">
      <c r="J329" s="1"/>
    </row>
    <row r="330" ht="12.75">
      <c r="J330" s="1"/>
    </row>
    <row r="331" ht="12.75">
      <c r="J331" s="1"/>
    </row>
    <row r="332" ht="12.75">
      <c r="J332" s="1"/>
    </row>
    <row r="333" ht="12.75">
      <c r="J333" s="1"/>
    </row>
    <row r="334" ht="12.75">
      <c r="J334" s="1"/>
    </row>
    <row r="335" ht="12.75">
      <c r="J335" s="1"/>
    </row>
    <row r="336" ht="12.75">
      <c r="J336" s="1"/>
    </row>
    <row r="337" ht="12.75">
      <c r="J337" s="1"/>
    </row>
    <row r="338" ht="12.75">
      <c r="J338" s="1"/>
    </row>
    <row r="339" ht="12.75">
      <c r="J339" s="1"/>
    </row>
    <row r="340" ht="12.75">
      <c r="J340" s="1"/>
    </row>
    <row r="341" ht="12.75">
      <c r="J341" s="1"/>
    </row>
    <row r="342" ht="12.75">
      <c r="J342" s="1"/>
    </row>
    <row r="343" ht="12.75">
      <c r="J343" s="1"/>
    </row>
    <row r="344" ht="12.75">
      <c r="J344" s="1"/>
    </row>
    <row r="345" ht="12.75">
      <c r="J345" s="1"/>
    </row>
    <row r="346" ht="12.75">
      <c r="J346" s="1"/>
    </row>
    <row r="347" ht="12.75">
      <c r="J347" s="1"/>
    </row>
    <row r="348" ht="12.75">
      <c r="J348" s="1"/>
    </row>
    <row r="349" ht="12.75">
      <c r="J349" s="1"/>
    </row>
    <row r="350" ht="12.75">
      <c r="J350" s="1"/>
    </row>
    <row r="351" ht="12.75">
      <c r="J351" s="1"/>
    </row>
    <row r="352" ht="12.75">
      <c r="J352" s="1"/>
    </row>
    <row r="353" ht="12.75">
      <c r="J353" s="1"/>
    </row>
    <row r="354" ht="12.75">
      <c r="J354" s="1"/>
    </row>
    <row r="355" ht="12.75">
      <c r="J355" s="1"/>
    </row>
    <row r="356" ht="12.75">
      <c r="J356" s="1"/>
    </row>
    <row r="357" ht="12.75">
      <c r="J357" s="1"/>
    </row>
    <row r="358" ht="12.75">
      <c r="J358" s="1"/>
    </row>
    <row r="359" ht="12.75">
      <c r="J359" s="1"/>
    </row>
    <row r="360" ht="12.75">
      <c r="J360" s="1"/>
    </row>
    <row r="361" ht="12.75">
      <c r="J361" s="1"/>
    </row>
    <row r="362" ht="12.75">
      <c r="J362" s="1"/>
    </row>
    <row r="363" ht="12.75">
      <c r="J363" s="1"/>
    </row>
    <row r="364" ht="12.75">
      <c r="J364" s="1"/>
    </row>
    <row r="365" ht="12.75">
      <c r="J365" s="1"/>
    </row>
    <row r="366" ht="12.75">
      <c r="J366" s="1"/>
    </row>
    <row r="367" ht="12.75">
      <c r="J367" s="1"/>
    </row>
    <row r="368" ht="12.75">
      <c r="J368" s="1"/>
    </row>
    <row r="369" ht="12.75">
      <c r="J369" s="1"/>
    </row>
    <row r="370" ht="12.75">
      <c r="J370" s="1"/>
    </row>
    <row r="371" ht="12.75">
      <c r="J371" s="1"/>
    </row>
    <row r="372" ht="12.75">
      <c r="J372" s="1"/>
    </row>
    <row r="373" ht="12.75">
      <c r="J373" s="1"/>
    </row>
    <row r="374" ht="12.75">
      <c r="J374" s="1"/>
    </row>
    <row r="375" ht="12.75">
      <c r="J375" s="1"/>
    </row>
    <row r="376" ht="12.75">
      <c r="J376" s="1"/>
    </row>
    <row r="377" ht="12.75">
      <c r="J377" s="1"/>
    </row>
    <row r="378" ht="12.75">
      <c r="J378" s="1"/>
    </row>
    <row r="379" ht="12.75">
      <c r="J379" s="1"/>
    </row>
    <row r="380" ht="12.75">
      <c r="J380" s="1"/>
    </row>
    <row r="381" ht="12.75">
      <c r="J381" s="1"/>
    </row>
    <row r="382" ht="12.75">
      <c r="J382" s="1"/>
    </row>
    <row r="383" ht="12.75">
      <c r="J383" s="1"/>
    </row>
    <row r="384" ht="12.75">
      <c r="J384" s="1"/>
    </row>
    <row r="385" ht="12.75">
      <c r="J385" s="1"/>
    </row>
    <row r="386" ht="12.75">
      <c r="J386" s="1"/>
    </row>
    <row r="387" ht="12.75">
      <c r="J387" s="1"/>
    </row>
    <row r="388" ht="12.75">
      <c r="J388" s="1"/>
    </row>
    <row r="389" ht="12.75">
      <c r="J389" s="1"/>
    </row>
    <row r="390" ht="12.75">
      <c r="J390" s="1"/>
    </row>
    <row r="391" ht="12.75">
      <c r="J391" s="1"/>
    </row>
    <row r="392" ht="12.75">
      <c r="J392" s="1"/>
    </row>
    <row r="393" ht="12.75">
      <c r="J393" s="1"/>
    </row>
    <row r="394" ht="12.75">
      <c r="J394" s="1"/>
    </row>
    <row r="395" ht="12.75">
      <c r="J395" s="1"/>
    </row>
    <row r="396" ht="12.75">
      <c r="J396" s="1"/>
    </row>
    <row r="397" ht="12.75">
      <c r="J397" s="1"/>
    </row>
    <row r="398" ht="12.75">
      <c r="J398" s="1"/>
    </row>
    <row r="399" ht="12.75">
      <c r="J399" s="1"/>
    </row>
    <row r="400" ht="12.75">
      <c r="J400" s="1"/>
    </row>
    <row r="401" ht="12.75">
      <c r="J401" s="1"/>
    </row>
    <row r="402" ht="12.75">
      <c r="J402" s="1"/>
    </row>
    <row r="403" ht="12.75">
      <c r="J403" s="1"/>
    </row>
    <row r="404" ht="12.75">
      <c r="J404" s="1"/>
    </row>
    <row r="405" ht="12.75">
      <c r="J405" s="1"/>
    </row>
    <row r="406" ht="12.75">
      <c r="J406" s="1"/>
    </row>
    <row r="407" ht="12.75">
      <c r="J407" s="1"/>
    </row>
    <row r="408" ht="12.75">
      <c r="J408" s="1"/>
    </row>
    <row r="409" ht="12.75">
      <c r="J409" s="1"/>
    </row>
    <row r="410" ht="12.75">
      <c r="J410" s="1"/>
    </row>
    <row r="411" ht="12.75">
      <c r="J411" s="1"/>
    </row>
    <row r="412" ht="12.75">
      <c r="J412" s="1"/>
    </row>
    <row r="413" ht="12.75">
      <c r="J413" s="1"/>
    </row>
    <row r="414" ht="12.75">
      <c r="J414" s="1"/>
    </row>
    <row r="415" ht="12.75">
      <c r="J415" s="1"/>
    </row>
    <row r="416" ht="12.75">
      <c r="J416" s="1"/>
    </row>
    <row r="417" ht="12.75">
      <c r="J417" s="1"/>
    </row>
    <row r="418" ht="12.75">
      <c r="J418" s="1"/>
    </row>
    <row r="419" ht="12.75">
      <c r="J419" s="1"/>
    </row>
    <row r="420" ht="12.75">
      <c r="J420" s="1"/>
    </row>
    <row r="421" ht="12.75">
      <c r="J421" s="1"/>
    </row>
    <row r="422" ht="12.75">
      <c r="J422" s="1"/>
    </row>
    <row r="423" ht="12.75">
      <c r="J423" s="1"/>
    </row>
    <row r="424" ht="12.75">
      <c r="J424" s="1"/>
    </row>
    <row r="425" ht="12.75">
      <c r="J425" s="1"/>
    </row>
    <row r="426" ht="12.75">
      <c r="J426" s="1"/>
    </row>
    <row r="427" ht="12.75">
      <c r="J427" s="1"/>
    </row>
    <row r="428" ht="12.75">
      <c r="J428" s="1"/>
    </row>
    <row r="429" ht="12.75">
      <c r="J429" s="1"/>
    </row>
    <row r="430" ht="12.75">
      <c r="J430" s="1"/>
    </row>
    <row r="431" ht="12.75">
      <c r="J431" s="1"/>
    </row>
    <row r="432" ht="12.75">
      <c r="J432" s="1"/>
    </row>
    <row r="433" ht="12.75">
      <c r="J433" s="1"/>
    </row>
    <row r="434" ht="12.75">
      <c r="J434" s="1"/>
    </row>
    <row r="435" ht="12.75">
      <c r="J435" s="1"/>
    </row>
    <row r="436" ht="12.75">
      <c r="J436" s="1"/>
    </row>
    <row r="437" ht="12.75">
      <c r="J437" s="1"/>
    </row>
    <row r="438" ht="12.75">
      <c r="J438" s="1"/>
    </row>
    <row r="439" ht="12.75">
      <c r="J439" s="1"/>
    </row>
    <row r="440" ht="12.75">
      <c r="J440" s="1"/>
    </row>
    <row r="441" ht="12.75">
      <c r="J441" s="1"/>
    </row>
    <row r="442" ht="12.75">
      <c r="J442" s="1"/>
    </row>
    <row r="443" ht="12.75">
      <c r="J443" s="1"/>
    </row>
    <row r="444" ht="12.75">
      <c r="J444" s="1"/>
    </row>
    <row r="445" ht="12.75">
      <c r="J445" s="1"/>
    </row>
    <row r="446" ht="12.75">
      <c r="J446" s="1"/>
    </row>
    <row r="447" ht="12.75">
      <c r="J447" s="1"/>
    </row>
    <row r="448" ht="12.75">
      <c r="J448" s="1"/>
    </row>
    <row r="449" ht="12.75">
      <c r="J449" s="1"/>
    </row>
    <row r="450" ht="12.75">
      <c r="J450" s="1"/>
    </row>
    <row r="451" ht="12.75">
      <c r="J451" s="1"/>
    </row>
    <row r="452" ht="12.75">
      <c r="J452" s="1"/>
    </row>
    <row r="453" ht="12.75">
      <c r="J453" s="1"/>
    </row>
    <row r="454" ht="12.75">
      <c r="J454" s="1"/>
    </row>
    <row r="455" ht="12.75">
      <c r="J455" s="1"/>
    </row>
    <row r="456" ht="12.75">
      <c r="J456" s="1"/>
    </row>
    <row r="457" ht="12.75">
      <c r="J457" s="1"/>
    </row>
    <row r="458" ht="12.75">
      <c r="J458" s="1"/>
    </row>
    <row r="459" ht="12.75">
      <c r="J459" s="1"/>
    </row>
    <row r="460" ht="12.75">
      <c r="J460" s="1"/>
    </row>
    <row r="461" ht="12.75">
      <c r="J461" s="1"/>
    </row>
    <row r="462" ht="12.75">
      <c r="J462" s="1"/>
    </row>
    <row r="463" ht="12.75">
      <c r="J463" s="1"/>
    </row>
    <row r="464" ht="12.75">
      <c r="J464" s="1"/>
    </row>
    <row r="465" ht="12.75">
      <c r="J465" s="1"/>
    </row>
    <row r="466" ht="12.75">
      <c r="J466" s="1"/>
    </row>
    <row r="467" ht="12.75">
      <c r="J467" s="1"/>
    </row>
    <row r="468" ht="12.75">
      <c r="J468" s="1"/>
    </row>
    <row r="469" ht="12.75">
      <c r="J469" s="1"/>
    </row>
    <row r="470" ht="12.75">
      <c r="J470" s="1"/>
    </row>
    <row r="471" ht="12.75">
      <c r="J471" s="1"/>
    </row>
    <row r="472" ht="12.75">
      <c r="J472" s="1"/>
    </row>
    <row r="473" ht="12.75">
      <c r="J473" s="1"/>
    </row>
    <row r="474" ht="12.75">
      <c r="J474" s="1"/>
    </row>
    <row r="475" ht="12.75">
      <c r="J475" s="1"/>
    </row>
    <row r="476" ht="12.75">
      <c r="J476" s="1"/>
    </row>
    <row r="477" ht="12.75">
      <c r="J477" s="1"/>
    </row>
    <row r="478" ht="12.75">
      <c r="J478" s="1"/>
    </row>
    <row r="479" ht="12.75">
      <c r="J479" s="1"/>
    </row>
    <row r="480" ht="12.75">
      <c r="J480" s="1"/>
    </row>
    <row r="481" ht="12.75">
      <c r="J481" s="1"/>
    </row>
    <row r="482" ht="12.75">
      <c r="J482" s="1"/>
    </row>
    <row r="483" ht="12.75">
      <c r="J483" s="1"/>
    </row>
    <row r="484" ht="12.75">
      <c r="J484" s="1"/>
    </row>
    <row r="485" ht="12.75">
      <c r="J485" s="1"/>
    </row>
    <row r="486" ht="12.75">
      <c r="J486" s="1"/>
    </row>
    <row r="487" ht="12.75">
      <c r="J487" s="1"/>
    </row>
    <row r="488" ht="12.75">
      <c r="J488" s="1"/>
    </row>
    <row r="489" ht="12.75">
      <c r="J489" s="1"/>
    </row>
    <row r="490" ht="12.75">
      <c r="J490" s="1"/>
    </row>
    <row r="491" ht="12.75">
      <c r="J491" s="1"/>
    </row>
    <row r="492" ht="12.75">
      <c r="J492" s="1"/>
    </row>
    <row r="493" ht="12.75">
      <c r="J493" s="1"/>
    </row>
    <row r="494" ht="12.75">
      <c r="J494" s="1"/>
    </row>
    <row r="495" ht="12.75">
      <c r="J495" s="1"/>
    </row>
    <row r="496" ht="12.75">
      <c r="J496" s="1"/>
    </row>
    <row r="497" ht="12.75">
      <c r="J497" s="1"/>
    </row>
    <row r="498" ht="12.75">
      <c r="J498" s="1"/>
    </row>
    <row r="499" ht="12.75">
      <c r="J499" s="1"/>
    </row>
    <row r="500" ht="12.75">
      <c r="J500" s="1"/>
    </row>
    <row r="501" ht="12.75">
      <c r="J501" s="1"/>
    </row>
  </sheetData>
  <sheetProtection/>
  <printOptions/>
  <pageMargins left="0.7" right="0.7" top="0.75" bottom="0.75" header="0.3" footer="0.3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2008-05-13T16:09:34Z</cp:lastPrinted>
  <dcterms:created xsi:type="dcterms:W3CDTF">2008-04-01T08:24:17Z</dcterms:created>
  <dcterms:modified xsi:type="dcterms:W3CDTF">2015-04-12T07:52:08Z</dcterms:modified>
  <cp:category/>
  <cp:version/>
  <cp:contentType/>
  <cp:contentStatus/>
</cp:coreProperties>
</file>